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0" windowWidth="13245" windowHeight="8370" activeTab="0"/>
  </bookViews>
  <sheets>
    <sheet name="2013" sheetId="1" r:id="rId1"/>
    <sheet name="Sheet2" sheetId="2" r:id="rId2"/>
    <sheet name="Sheet3" sheetId="3" r:id="rId3"/>
    <sheet name="Sheet1" sheetId="4" r:id="rId4"/>
  </sheets>
  <definedNames>
    <definedName name="_xlnm.Print_Area" localSheetId="0">'2013'!$A$1:$J$129</definedName>
    <definedName name="_xlnm.Print_Titles" localSheetId="0">'2013'!$5:$5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<sst xmlns="http://schemas.openxmlformats.org/spreadsheetml/2006/main" count="134" uniqueCount="133">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</sst>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  <numFmt numFmtId="170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pane ySplit="5" topLeftCell="A101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1" ht="12.7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  <c r="K1">
        <v>1</v>
      </c>
    </row>
    <row r="2" spans="1:10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650204.12+8000.34-3150.7</f>
        <v>655053.76</v>
      </c>
      <c r="C6" s="3">
        <v>11012.04</v>
      </c>
      <c r="D6" s="19">
        <f aca="true" t="shared" si="0" ref="D6:D69">C6/B6*100</f>
        <v>1.6810895032493212</v>
      </c>
      <c r="E6" s="3">
        <f>89812.56+198.25+25683.79+18894.58+241.29+0.58-1084.53-28.25</f>
        <v>133718.27</v>
      </c>
      <c r="F6" s="3">
        <f>280.2+0.59+27</f>
        <v>307.78999999999996</v>
      </c>
      <c r="G6" s="19">
        <f aca="true" t="shared" si="1" ref="G6:G49">F6/E6*100</f>
        <v>0.23017797044487637</v>
      </c>
      <c r="H6" s="5">
        <f>(B6+E6)</f>
        <v>788772.03</v>
      </c>
      <c r="I6" s="5">
        <f>(C6+F6)</f>
        <v>11319.830000000002</v>
      </c>
      <c r="J6" s="19">
        <f aca="true" t="shared" si="2" ref="J6:J69">I6/H6*100</f>
        <v>1.435120614000474</v>
      </c>
    </row>
    <row r="7" spans="1:10" ht="12.75">
      <c r="A7" s="1" t="s">
        <v>8</v>
      </c>
      <c r="B7" s="3">
        <f>804734.02+1327.5+51.85+3957.56+74.37-3111.1</f>
        <v>807034.2000000001</v>
      </c>
      <c r="C7" s="3">
        <v>17830.14</v>
      </c>
      <c r="D7" s="19">
        <f t="shared" si="0"/>
        <v>2.20934131415992</v>
      </c>
      <c r="E7" s="3">
        <f>94414.91+120629.17+24911.1+2.25+0.87+24-18.51</f>
        <v>239963.79</v>
      </c>
      <c r="F7" s="3">
        <f>271.25+25.8</f>
        <v>297.05</v>
      </c>
      <c r="G7" s="19">
        <f t="shared" si="1"/>
        <v>0.123789510075666</v>
      </c>
      <c r="H7" s="5">
        <f aca="true" t="shared" si="3" ref="H7:H70">(B7+E7)</f>
        <v>1046997.9900000001</v>
      </c>
      <c r="I7" s="5">
        <f aca="true" t="shared" si="4" ref="I7:I70">(C7+F7)</f>
        <v>18127.19</v>
      </c>
      <c r="J7" s="19">
        <f t="shared" si="2"/>
        <v>1.7313490735545727</v>
      </c>
    </row>
    <row r="8" spans="1:10" ht="12.75">
      <c r="A8" s="1" t="s">
        <v>9</v>
      </c>
      <c r="B8" s="14">
        <f>1552496.04+43.92+24.4+104.57-3888.93</f>
        <v>1548780</v>
      </c>
      <c r="C8" s="14">
        <v>25686.6</v>
      </c>
      <c r="D8" s="18">
        <f t="shared" si="0"/>
        <v>1.6585054042536704</v>
      </c>
      <c r="E8" s="14">
        <f>122121.2+147040.34+25687.61+691.81+0.73-4.11</f>
        <v>295537.57999999996</v>
      </c>
      <c r="F8" s="14">
        <f>340.73+21.61</f>
        <v>362.34000000000003</v>
      </c>
      <c r="G8" s="18">
        <f t="shared" si="1"/>
        <v>0.12260369730306382</v>
      </c>
      <c r="H8" s="15">
        <f t="shared" si="3"/>
        <v>1844317.58</v>
      </c>
      <c r="I8" s="15">
        <f t="shared" si="4"/>
        <v>26048.94</v>
      </c>
      <c r="J8" s="18">
        <f t="shared" si="2"/>
        <v>1.4123890745540688</v>
      </c>
    </row>
    <row r="9" spans="1:10" ht="12.75">
      <c r="A9" s="1" t="s">
        <v>10</v>
      </c>
      <c r="B9" s="3">
        <f>455890.46+105.59-1390.71</f>
        <v>454605.34</v>
      </c>
      <c r="C9" s="3">
        <f>7564.57+105.59</f>
        <v>7670.16</v>
      </c>
      <c r="D9" s="19">
        <f t="shared" si="0"/>
        <v>1.6872129130731284</v>
      </c>
      <c r="E9" s="3">
        <f>224815.67+194708.32+12974.79+3151.99+7.67-123.06</f>
        <v>435535.37999999995</v>
      </c>
      <c r="F9" s="3">
        <v>0</v>
      </c>
      <c r="G9" s="19">
        <f t="shared" si="1"/>
        <v>0</v>
      </c>
      <c r="H9" s="5">
        <f t="shared" si="3"/>
        <v>890140.72</v>
      </c>
      <c r="I9" s="5">
        <f t="shared" si="4"/>
        <v>7670.16</v>
      </c>
      <c r="J9" s="19">
        <f t="shared" si="2"/>
        <v>0.8616794881600294</v>
      </c>
    </row>
    <row r="10" spans="1:10" ht="12.75">
      <c r="A10" s="1" t="s">
        <v>11</v>
      </c>
      <c r="B10" s="3">
        <f>2180211.95+550.71+2682.15+299.27+811.81-4966.8</f>
        <v>2179589.0900000003</v>
      </c>
      <c r="C10" s="3">
        <v>40059.77</v>
      </c>
      <c r="D10" s="19">
        <f t="shared" si="0"/>
        <v>1.8379505652599863</v>
      </c>
      <c r="E10" s="3">
        <f>442668.8+246.04+469725.57+84943.4+1296.15-2122.11-143.61-10.35</f>
        <v>996603.89</v>
      </c>
      <c r="F10" s="3">
        <f>6747.01+1.4+1274.68</f>
        <v>8023.09</v>
      </c>
      <c r="G10" s="19">
        <f t="shared" si="1"/>
        <v>0.8050430146324233</v>
      </c>
      <c r="H10" s="5">
        <f t="shared" si="3"/>
        <v>3176192.9800000004</v>
      </c>
      <c r="I10" s="5">
        <f t="shared" si="4"/>
        <v>48082.86</v>
      </c>
      <c r="J10" s="19">
        <f t="shared" si="2"/>
        <v>1.513851970039931</v>
      </c>
    </row>
    <row r="11" spans="1:10" ht="12.75">
      <c r="A11" s="1" t="s">
        <v>12</v>
      </c>
      <c r="B11" s="3">
        <f>350635.44+13.5-2552+1.37</f>
        <v>348098.31</v>
      </c>
      <c r="C11" s="3">
        <v>9269.93</v>
      </c>
      <c r="D11" s="19">
        <f t="shared" si="0"/>
        <v>2.6630206851621887</v>
      </c>
      <c r="E11" s="3">
        <f>43632.83+4474.64+6810.66+5.35+37.95-37.95</f>
        <v>54923.48</v>
      </c>
      <c r="F11" s="3">
        <f>156.77+1.75</f>
        <v>158.52</v>
      </c>
      <c r="G11" s="19">
        <f t="shared" si="1"/>
        <v>0.28861973057788765</v>
      </c>
      <c r="H11" s="5">
        <f t="shared" si="3"/>
        <v>403021.79</v>
      </c>
      <c r="I11" s="5">
        <f t="shared" si="4"/>
        <v>9428.45</v>
      </c>
      <c r="J11" s="19">
        <f t="shared" si="2"/>
        <v>2.3394392645618494</v>
      </c>
    </row>
    <row r="12" spans="1:10" ht="12.75">
      <c r="A12" s="1" t="s">
        <v>13</v>
      </c>
      <c r="B12" s="3">
        <f>778415.8+4.88+43174.21-5610.41</f>
        <v>815984.48</v>
      </c>
      <c r="C12" s="3">
        <f>34357.88+757.96+10.57</f>
        <v>35126.409999999996</v>
      </c>
      <c r="D12" s="19">
        <f t="shared" si="0"/>
        <v>4.304788983241446</v>
      </c>
      <c r="E12" s="3">
        <f>544589.55+65150.62+27378.43+59.4-45007.63</f>
        <v>592170.3700000001</v>
      </c>
      <c r="F12" s="3">
        <f>44174.78+2464.73+906.05</f>
        <v>47545.560000000005</v>
      </c>
      <c r="G12" s="19">
        <f t="shared" si="1"/>
        <v>8.029033941701607</v>
      </c>
      <c r="H12" s="5">
        <f t="shared" si="3"/>
        <v>1408154.85</v>
      </c>
      <c r="I12" s="5">
        <f t="shared" si="4"/>
        <v>82671.97</v>
      </c>
      <c r="J12" s="19">
        <f t="shared" si="2"/>
        <v>5.870943099759234</v>
      </c>
    </row>
    <row r="13" spans="1:10" ht="12.75">
      <c r="A13" s="1" t="s">
        <v>14</v>
      </c>
      <c r="B13" s="3">
        <f>12240640.64+1077.89+160.01+56745.62-19589.42</f>
        <v>12279034.74</v>
      </c>
      <c r="C13" s="3">
        <v>95932.87</v>
      </c>
      <c r="D13" s="19">
        <f t="shared" si="0"/>
        <v>0.7812737078386993</v>
      </c>
      <c r="E13" s="3">
        <v>5264093</v>
      </c>
      <c r="F13" s="3">
        <f>17880.57+14.19+1485.48</f>
        <v>19380.239999999998</v>
      </c>
      <c r="G13" s="19">
        <f t="shared" si="1"/>
        <v>0.368159149163968</v>
      </c>
      <c r="H13" s="5">
        <f t="shared" si="3"/>
        <v>17543127.740000002</v>
      </c>
      <c r="I13" s="5">
        <f t="shared" si="4"/>
        <v>115313.10999999999</v>
      </c>
      <c r="J13" s="19">
        <f t="shared" si="2"/>
        <v>0.6573121492872398</v>
      </c>
    </row>
    <row r="14" spans="1:10" s="13" customFormat="1" ht="12.75">
      <c r="A14" s="1" t="s">
        <v>15</v>
      </c>
      <c r="B14" s="14">
        <f>1271874.24+539.22+544.73+374.25-3610.29</f>
        <v>1269722.15</v>
      </c>
      <c r="C14" s="3">
        <v>19176.84</v>
      </c>
      <c r="D14" s="19">
        <f t="shared" si="0"/>
        <v>1.51031782819572</v>
      </c>
      <c r="E14" s="14">
        <f>212760.81+1319.02+219814.76+43257.43+176.22+5.92+1417.52-1402.32-47.52</f>
        <v>477301.8399999999</v>
      </c>
      <c r="F14" s="14">
        <f>1043.98+335.28</f>
        <v>1379.26</v>
      </c>
      <c r="G14" s="19">
        <f t="shared" si="1"/>
        <v>0.2889701828930725</v>
      </c>
      <c r="H14" s="5">
        <f t="shared" si="3"/>
        <v>1747023.9899999998</v>
      </c>
      <c r="I14" s="15">
        <f>(C14+F14)</f>
        <v>20556.1</v>
      </c>
      <c r="J14" s="19">
        <f t="shared" si="2"/>
        <v>1.1766352447169315</v>
      </c>
    </row>
    <row r="15" spans="1:10" ht="12.75">
      <c r="A15" s="1" t="s">
        <v>16</v>
      </c>
      <c r="B15" s="14">
        <f>2213572.83+43.92+3228.69+25.57+38.8-7860.95</f>
        <v>2209048.8599999994</v>
      </c>
      <c r="C15" s="14">
        <f>99061.22+109.8+35.15</f>
        <v>99206.17</v>
      </c>
      <c r="D15" s="18">
        <f t="shared" si="0"/>
        <v>4.490899762171853</v>
      </c>
      <c r="E15" s="14">
        <f>709393.32+631183.86+176288.04+2.8+13490.99+26436.44-134-26433.58</f>
        <v>1530227.8699999999</v>
      </c>
      <c r="F15" s="14">
        <f>35.15+9461.75+8.39+444</f>
        <v>9949.289999999999</v>
      </c>
      <c r="G15" s="18">
        <f t="shared" si="1"/>
        <v>0.650183557302482</v>
      </c>
      <c r="H15" s="15">
        <f t="shared" si="3"/>
        <v>3739276.7299999995</v>
      </c>
      <c r="I15" s="15">
        <f t="shared" si="4"/>
        <v>109155.45999999999</v>
      </c>
      <c r="J15" s="18">
        <f t="shared" si="2"/>
        <v>2.9191597167508916</v>
      </c>
    </row>
    <row r="16" spans="1:10" ht="12.75">
      <c r="A16" s="1" t="s">
        <v>17</v>
      </c>
      <c r="B16" s="3">
        <f>1888575.87+87.84+274.55+362.34-1758.02</f>
        <v>1887542.5800000003</v>
      </c>
      <c r="C16" s="3">
        <v>26908.08</v>
      </c>
      <c r="D16" s="19">
        <f t="shared" si="0"/>
        <v>1.425561483227573</v>
      </c>
      <c r="E16" s="3">
        <f>373103.98+79.12+2.73+343915.77+3.89+91336.36+7.31+1108.74+0.58-295.41-3.27-37.35</f>
        <v>809222.45</v>
      </c>
      <c r="F16" s="3">
        <f>1321.11+674.28+124.75</f>
        <v>2120.14</v>
      </c>
      <c r="G16" s="19">
        <f t="shared" si="1"/>
        <v>0.26199718013260753</v>
      </c>
      <c r="H16" s="5">
        <f t="shared" si="3"/>
        <v>2696765.0300000003</v>
      </c>
      <c r="I16" s="5">
        <f t="shared" si="4"/>
        <v>29028.22</v>
      </c>
      <c r="J16" s="19">
        <f t="shared" si="2"/>
        <v>1.0764089446828817</v>
      </c>
    </row>
    <row r="17" spans="1:10" ht="12.75">
      <c r="A17" s="1" t="s">
        <v>18</v>
      </c>
      <c r="B17" s="3">
        <f>321462.72+7.93-395.4</f>
        <v>321075.24999999994</v>
      </c>
      <c r="C17" s="3">
        <v>4323.34</v>
      </c>
      <c r="D17" s="19">
        <f t="shared" si="0"/>
        <v>1.3465192349768476</v>
      </c>
      <c r="E17" s="3">
        <f>43466.21+45391+6908.74+0.11-1190.93</f>
        <v>94575.13</v>
      </c>
      <c r="F17" s="3">
        <v>11.01</v>
      </c>
      <c r="G17" s="19">
        <f t="shared" si="1"/>
        <v>0.011641538319852164</v>
      </c>
      <c r="H17" s="5">
        <f t="shared" si="3"/>
        <v>415650.37999999995</v>
      </c>
      <c r="I17" s="5">
        <f t="shared" si="4"/>
        <v>4334.35</v>
      </c>
      <c r="J17" s="19">
        <f t="shared" si="2"/>
        <v>1.0427874503567158</v>
      </c>
    </row>
    <row r="18" spans="1:10" ht="12.75">
      <c r="A18" s="1" t="s">
        <v>19</v>
      </c>
      <c r="B18" s="3">
        <f>344417.06+3485.55+120.24-3751.28</f>
        <v>344271.56999999995</v>
      </c>
      <c r="C18" s="3">
        <v>32897.74</v>
      </c>
      <c r="D18" s="19">
        <f t="shared" si="0"/>
        <v>9.55575274484617</v>
      </c>
      <c r="E18" s="3">
        <f>198124.87+16721.53+8265.66+0.2</f>
        <v>223112.26</v>
      </c>
      <c r="F18" s="3">
        <f>5089.21+13.83</f>
        <v>5103.04</v>
      </c>
      <c r="G18" s="19">
        <f t="shared" si="1"/>
        <v>2.2872073457550024</v>
      </c>
      <c r="H18" s="5">
        <f t="shared" si="3"/>
        <v>567383.83</v>
      </c>
      <c r="I18" s="5">
        <f t="shared" si="4"/>
        <v>38000.78</v>
      </c>
      <c r="J18" s="19">
        <f t="shared" si="2"/>
        <v>6.697543706876526</v>
      </c>
    </row>
    <row r="19" spans="1:10" ht="12.75">
      <c r="A19" s="1" t="s">
        <v>20</v>
      </c>
      <c r="B19" s="3">
        <f>957892.57+38.74+2057.11+85.56-1858.27</f>
        <v>958215.71</v>
      </c>
      <c r="C19" s="3">
        <v>15254.54</v>
      </c>
      <c r="D19" s="19">
        <f t="shared" si="0"/>
        <v>1.5919734816286828</v>
      </c>
      <c r="E19" s="3">
        <f>92899.99+18152.58+16519.61+262.13</f>
        <v>127834.31000000001</v>
      </c>
      <c r="F19" s="3">
        <f>1540.17+5.03+6.54</f>
        <v>1551.74</v>
      </c>
      <c r="G19" s="19">
        <f t="shared" si="1"/>
        <v>1.2138681704465726</v>
      </c>
      <c r="H19" s="5">
        <f>(B19+E19)</f>
        <v>1086050.02</v>
      </c>
      <c r="I19" s="5">
        <f t="shared" si="4"/>
        <v>16806.280000000002</v>
      </c>
      <c r="J19" s="19">
        <f t="shared" si="2"/>
        <v>1.5474683201055512</v>
      </c>
    </row>
    <row r="20" spans="1:10" ht="12.75">
      <c r="A20" s="1" t="s">
        <v>21</v>
      </c>
      <c r="B20" s="3">
        <f>5604592.09+3576.23+4569.5+920.39+3780.02-18424.56</f>
        <v>5599013.67</v>
      </c>
      <c r="C20" s="3">
        <v>76543.32</v>
      </c>
      <c r="D20" s="19">
        <f t="shared" si="0"/>
        <v>1.3670857853076113</v>
      </c>
      <c r="E20" s="14">
        <f>622390.36+212507.86+492236.73+1572.81+5372.17+0.9+52.1-904.46-910.87</f>
        <v>1332317.5999999999</v>
      </c>
      <c r="F20" s="3">
        <f>1667.55+225.98</f>
        <v>1893.53</v>
      </c>
      <c r="G20" s="19">
        <f t="shared" si="1"/>
        <v>0.14212301931611504</v>
      </c>
      <c r="H20" s="5">
        <f t="shared" si="3"/>
        <v>6931331.27</v>
      </c>
      <c r="I20" s="5">
        <f t="shared" si="4"/>
        <v>78436.85</v>
      </c>
      <c r="J20" s="19">
        <f t="shared" si="2"/>
        <v>1.1316274889282563</v>
      </c>
    </row>
    <row r="21" spans="1:10" ht="12.75">
      <c r="A21" s="1" t="s">
        <v>22</v>
      </c>
      <c r="B21" s="3">
        <f>422069.74+11.47+1794.56+435.31-1678.75</f>
        <v>422632.32999999996</v>
      </c>
      <c r="C21" s="3">
        <v>14252.35</v>
      </c>
      <c r="D21" s="19">
        <f t="shared" si="0"/>
        <v>3.3722810557346627</v>
      </c>
      <c r="E21" s="3">
        <f>62011.88+69745.24+14463.27+11.1+11.77+4366.21+19668.98+1130.81-4366.21-19668.98-1130.81</f>
        <v>146243.25999999998</v>
      </c>
      <c r="F21" s="3">
        <f>893.42</f>
        <v>893.42</v>
      </c>
      <c r="G21" s="19">
        <f t="shared" si="1"/>
        <v>0.6109136243270289</v>
      </c>
      <c r="H21" s="5">
        <f t="shared" si="3"/>
        <v>568875.59</v>
      </c>
      <c r="I21" s="5">
        <f t="shared" si="4"/>
        <v>15145.77</v>
      </c>
      <c r="J21" s="19">
        <f>I21/H21*100</f>
        <v>2.6624046217205417</v>
      </c>
    </row>
    <row r="22" spans="1:10" ht="12.75">
      <c r="A22" s="1" t="s">
        <v>23</v>
      </c>
      <c r="B22" s="3">
        <f>484798.72+4370.37+1394.43-3422.38</f>
        <v>487141.13999999996</v>
      </c>
      <c r="C22" s="3">
        <v>8052.64</v>
      </c>
      <c r="D22" s="19">
        <f t="shared" si="0"/>
        <v>1.6530404309519007</v>
      </c>
      <c r="E22" s="3">
        <f>84241.56+186009.69+33460.93+519.64+9.03-1296.41</f>
        <v>302944.44000000006</v>
      </c>
      <c r="F22" s="3">
        <v>8.01</v>
      </c>
      <c r="G22" s="19">
        <f t="shared" si="1"/>
        <v>0.002644049186048768</v>
      </c>
      <c r="H22" s="5">
        <f t="shared" si="3"/>
        <v>790085.5800000001</v>
      </c>
      <c r="I22" s="5">
        <f t="shared" si="4"/>
        <v>8060.650000000001</v>
      </c>
      <c r="J22" s="19">
        <f t="shared" si="2"/>
        <v>1.0202249229760656</v>
      </c>
    </row>
    <row r="23" spans="1:10" ht="12.75">
      <c r="A23" s="1" t="s">
        <v>24</v>
      </c>
      <c r="B23" s="3">
        <f>2139903.82+638.67+188.83+593.41-6275.18</f>
        <v>2135049.55</v>
      </c>
      <c r="C23" s="3">
        <v>27440.6</v>
      </c>
      <c r="D23" s="19">
        <f t="shared" si="0"/>
        <v>1.2852441761831712</v>
      </c>
      <c r="E23" s="3">
        <f>315304.99+65.4+210838.15+64087.22+106.61+559.57+17.7-4378.68</f>
        <v>586600.9599999998</v>
      </c>
      <c r="F23" s="3">
        <f>1763.38+75.21</f>
        <v>1838.5900000000001</v>
      </c>
      <c r="G23" s="19">
        <f t="shared" si="1"/>
        <v>0.31343112701349835</v>
      </c>
      <c r="H23" s="5">
        <f t="shared" si="3"/>
        <v>2721650.51</v>
      </c>
      <c r="I23" s="5">
        <f t="shared" si="4"/>
        <v>29279.19</v>
      </c>
      <c r="J23" s="19">
        <f t="shared" si="2"/>
        <v>1.075788015118811</v>
      </c>
    </row>
    <row r="24" spans="1:10" ht="12.75">
      <c r="A24" s="1" t="s">
        <v>25</v>
      </c>
      <c r="B24" s="14">
        <f>6372466.76+2675.25-11987.88</f>
        <v>6363154.13</v>
      </c>
      <c r="C24" s="14">
        <v>83334.62</v>
      </c>
      <c r="D24" s="18">
        <f t="shared" si="0"/>
        <v>1.309643272777364</v>
      </c>
      <c r="E24" s="14">
        <f>742183.56+232.08+391110.49+111240.87+70.05+157.06+3.1-1534.55</f>
        <v>1243462.6600000001</v>
      </c>
      <c r="F24" s="14">
        <f>6155.06+382.65+6871.34</f>
        <v>13409.05</v>
      </c>
      <c r="G24" s="18">
        <f t="shared" si="1"/>
        <v>1.078363704142109</v>
      </c>
      <c r="H24" s="15">
        <f t="shared" si="3"/>
        <v>7606616.79</v>
      </c>
      <c r="I24" s="15">
        <f t="shared" si="4"/>
        <v>96743.67</v>
      </c>
      <c r="J24" s="18">
        <f t="shared" si="2"/>
        <v>1.2718357276415393</v>
      </c>
    </row>
    <row r="25" spans="1:10" ht="12.75">
      <c r="A25" s="1" t="s">
        <v>26</v>
      </c>
      <c r="B25" s="3">
        <f>187244.65+178.54+46.24+12.2-1955.57</f>
        <v>185526.06</v>
      </c>
      <c r="C25" s="3">
        <v>2371.65</v>
      </c>
      <c r="D25" s="19">
        <f t="shared" si="0"/>
        <v>1.2783379326871922</v>
      </c>
      <c r="E25" s="3">
        <f>24649.31+261.72+1335.61+20.33+0.02-300</f>
        <v>25966.990000000005</v>
      </c>
      <c r="F25" s="3">
        <f>2754.71+8.73</f>
        <v>2763.44</v>
      </c>
      <c r="G25" s="19">
        <f t="shared" si="1"/>
        <v>10.642126792516189</v>
      </c>
      <c r="H25" s="5">
        <f t="shared" si="3"/>
        <v>211493.05</v>
      </c>
      <c r="I25" s="5">
        <f t="shared" si="4"/>
        <v>5135.09</v>
      </c>
      <c r="J25" s="19">
        <f t="shared" si="2"/>
        <v>2.4280183202237615</v>
      </c>
    </row>
    <row r="26" spans="1:10" ht="12.75">
      <c r="A26" s="1" t="s">
        <v>27</v>
      </c>
      <c r="B26" s="14">
        <f>582145.74+429.76+173487.34-705.65</f>
        <v>755357.19</v>
      </c>
      <c r="C26" s="14">
        <v>15322.1</v>
      </c>
      <c r="D26" s="18">
        <f t="shared" si="0"/>
        <v>2.028457556616361</v>
      </c>
      <c r="E26" s="14">
        <f>174627.33+152596.82+22393.44+2.14+6151.3</f>
        <v>355771.03</v>
      </c>
      <c r="F26" s="14">
        <f>825.39+99.48</f>
        <v>924.87</v>
      </c>
      <c r="G26" s="18">
        <f t="shared" si="1"/>
        <v>0.25996214475360735</v>
      </c>
      <c r="H26" s="15">
        <f t="shared" si="3"/>
        <v>1111128.22</v>
      </c>
      <c r="I26" s="15">
        <f t="shared" si="4"/>
        <v>16246.970000000001</v>
      </c>
      <c r="J26" s="18">
        <f t="shared" si="2"/>
        <v>1.4622047849707211</v>
      </c>
    </row>
    <row r="27" spans="1:10" ht="12.75">
      <c r="A27" s="1" t="s">
        <v>28</v>
      </c>
      <c r="B27" s="14">
        <f>780445.27+192.15+1692.43+199.59-8605.82</f>
        <v>773923.6200000001</v>
      </c>
      <c r="C27" s="14">
        <v>30251.89</v>
      </c>
      <c r="D27" s="18">
        <f t="shared" si="0"/>
        <v>3.9088986585006924</v>
      </c>
      <c r="E27" s="14">
        <f>108326.06+46194.36+19625.88+58.04+0.34-2633.91-1766.31</f>
        <v>169804.46</v>
      </c>
      <c r="F27" s="14">
        <f>2552.07+260.49</f>
        <v>2812.5600000000004</v>
      </c>
      <c r="G27" s="18">
        <f t="shared" si="1"/>
        <v>1.6563522536451638</v>
      </c>
      <c r="H27" s="15">
        <f t="shared" si="3"/>
        <v>943728.0800000001</v>
      </c>
      <c r="I27" s="15">
        <f t="shared" si="4"/>
        <v>33064.45</v>
      </c>
      <c r="J27" s="18">
        <f t="shared" si="2"/>
        <v>3.5035992571080428</v>
      </c>
    </row>
    <row r="28" spans="1:10" ht="12.75">
      <c r="A28" s="1" t="s">
        <v>29</v>
      </c>
      <c r="B28" s="3">
        <f>532269.82+279-2162.94</f>
        <v>530385.88</v>
      </c>
      <c r="C28" s="3">
        <v>7508.71</v>
      </c>
      <c r="D28" s="19">
        <f t="shared" si="0"/>
        <v>1.415706994311387</v>
      </c>
      <c r="E28" s="3">
        <f>41596.32+21333.93+11768.37+6.19-15.22-0.74</f>
        <v>74688.84999999999</v>
      </c>
      <c r="F28" s="3">
        <f>178.37+4.39</f>
        <v>182.76</v>
      </c>
      <c r="G28" s="19">
        <f t="shared" si="1"/>
        <v>0.24469515864817842</v>
      </c>
      <c r="H28" s="5">
        <f t="shared" si="3"/>
        <v>605074.73</v>
      </c>
      <c r="I28" s="5">
        <f t="shared" si="4"/>
        <v>7691.47</v>
      </c>
      <c r="J28" s="19">
        <f t="shared" si="2"/>
        <v>1.271160340806168</v>
      </c>
    </row>
    <row r="29" spans="1:10" ht="12.75">
      <c r="A29" s="1" t="s">
        <v>30</v>
      </c>
      <c r="B29" s="3">
        <f>3180203.51+285.63+13741.38+307.44-6973.86+4741.64</f>
        <v>3192305.7399999998</v>
      </c>
      <c r="C29" s="3">
        <v>52863.39</v>
      </c>
      <c r="D29" s="19">
        <f t="shared" si="0"/>
        <v>1.6559626271887105</v>
      </c>
      <c r="E29" s="3">
        <f>756712.35+650550.55+171405.42+36866.91+19.53+6.61+9.25+2153.3-98.02-79.12-4.5-16.81-1890.26-0.98-0.75-3.19</f>
        <v>1615630.2899999998</v>
      </c>
      <c r="F29" s="3">
        <f>1631.86+13.12+255.67</f>
        <v>1900.6499999999999</v>
      </c>
      <c r="G29" s="19">
        <f t="shared" si="1"/>
        <v>0.11764139430686213</v>
      </c>
      <c r="H29" s="5">
        <f t="shared" si="3"/>
        <v>4807936.029999999</v>
      </c>
      <c r="I29" s="5">
        <f t="shared" si="4"/>
        <v>54764.04</v>
      </c>
      <c r="J29" s="19">
        <f t="shared" si="2"/>
        <v>1.1390342895223589</v>
      </c>
    </row>
    <row r="30" spans="1:10" ht="12.75">
      <c r="A30" s="1" t="s">
        <v>31</v>
      </c>
      <c r="B30" s="3">
        <f>2674530.26+95.04+853.26-6216.02</f>
        <v>2669262.5399999996</v>
      </c>
      <c r="C30" s="3">
        <v>47212.41</v>
      </c>
      <c r="D30" s="19">
        <f t="shared" si="0"/>
        <v>1.7687435871332466</v>
      </c>
      <c r="E30" s="3">
        <f>419851.05+5048.72+47.36+368349.05+7485+90936.62+924.69+954.85+1.93-952.91-1009.88</f>
        <v>891636.4799999999</v>
      </c>
      <c r="F30" s="3">
        <f>2889.01+19.99+66.26+1.2</f>
        <v>2976.46</v>
      </c>
      <c r="G30" s="19">
        <f t="shared" si="1"/>
        <v>0.3338198993383492</v>
      </c>
      <c r="H30" s="5">
        <f t="shared" si="3"/>
        <v>3560899.0199999996</v>
      </c>
      <c r="I30" s="5">
        <f t="shared" si="4"/>
        <v>50188.87</v>
      </c>
      <c r="J30" s="19">
        <f t="shared" si="2"/>
        <v>1.409443787035556</v>
      </c>
    </row>
    <row r="31" spans="1:10" ht="12.75">
      <c r="A31" s="1" t="s">
        <v>32</v>
      </c>
      <c r="B31" s="3">
        <f>400463.22+24338.72+191.32-3271.55</f>
        <v>421721.70999999996</v>
      </c>
      <c r="C31" s="3">
        <f>34290.88+48.58</f>
        <v>34339.46</v>
      </c>
      <c r="D31" s="19">
        <f t="shared" si="0"/>
        <v>8.142682528722556</v>
      </c>
      <c r="E31" s="3">
        <f>142521.32+57.05+14197.16+6233.76+1.78-188.95</f>
        <v>162822.12</v>
      </c>
      <c r="F31" s="3">
        <f>5880.07+108.8</f>
        <v>5988.87</v>
      </c>
      <c r="G31" s="19">
        <f t="shared" si="1"/>
        <v>3.6781673153500276</v>
      </c>
      <c r="H31" s="5">
        <f t="shared" si="3"/>
        <v>584543.83</v>
      </c>
      <c r="I31" s="5">
        <f t="shared" si="4"/>
        <v>40328.33</v>
      </c>
      <c r="J31" s="19">
        <f t="shared" si="2"/>
        <v>6.899111397685953</v>
      </c>
    </row>
    <row r="32" spans="1:10" ht="12.75">
      <c r="A32" s="1" t="s">
        <v>33</v>
      </c>
      <c r="B32" s="5">
        <f>450580.3+3.05+10553.05-1668.96</f>
        <v>459467.43999999994</v>
      </c>
      <c r="C32" s="3">
        <v>18828.51</v>
      </c>
      <c r="D32" s="19">
        <f>C32/B32*100</f>
        <v>4.097898645440469</v>
      </c>
      <c r="E32" s="3">
        <f>59342.76+24011.96+6107.68+1481.92-6.38</f>
        <v>90937.93999999999</v>
      </c>
      <c r="F32" s="3">
        <f>1276.71+2.48</f>
        <v>1279.19</v>
      </c>
      <c r="G32" s="19">
        <f t="shared" si="1"/>
        <v>1.406662609687442</v>
      </c>
      <c r="H32" s="5">
        <f>(B33+E32)</f>
        <v>453253.44999999995</v>
      </c>
      <c r="I32" s="5">
        <f>(C33+F32)</f>
        <v>7115.450000000001</v>
      </c>
      <c r="J32" s="19">
        <f t="shared" si="2"/>
        <v>1.5698611891426313</v>
      </c>
    </row>
    <row r="33" spans="1:10" ht="12.75">
      <c r="A33" s="1" t="s">
        <v>34</v>
      </c>
      <c r="B33" s="3">
        <f>362544.97+574.62+51.85-1107.93+252</f>
        <v>362315.50999999995</v>
      </c>
      <c r="C33" s="3">
        <v>5836.26</v>
      </c>
      <c r="D33" s="19">
        <f>C33/B33*100</f>
        <v>1.6108225673253682</v>
      </c>
      <c r="E33" s="3">
        <f>38094.05+12376.14+11652.38+31.02+2.85-9.07</f>
        <v>62147.369999999995</v>
      </c>
      <c r="F33" s="3">
        <f>275.33+3.09</f>
        <v>278.41999999999996</v>
      </c>
      <c r="G33" s="19">
        <f t="shared" si="1"/>
        <v>0.44799964986450747</v>
      </c>
      <c r="H33" s="5">
        <f>(B34+E33)</f>
        <v>387213.54000000004</v>
      </c>
      <c r="I33" s="5">
        <f>(C33+F33)</f>
        <v>6114.68</v>
      </c>
      <c r="J33" s="19">
        <f t="shared" si="2"/>
        <v>1.5791493241687777</v>
      </c>
    </row>
    <row r="34" spans="1:10" ht="12.75">
      <c r="A34" s="1" t="s">
        <v>35</v>
      </c>
      <c r="B34" s="3">
        <f>315967.27+10502.28+170.42-1573.8</f>
        <v>325066.17000000004</v>
      </c>
      <c r="C34" s="3">
        <v>5141.77</v>
      </c>
      <c r="D34" s="19">
        <f t="shared" si="0"/>
        <v>1.581761030377292</v>
      </c>
      <c r="E34" s="3">
        <f>22761.58+977.46+4454.29+585.67+3.95-8.18</f>
        <v>28774.77</v>
      </c>
      <c r="F34" s="3">
        <f>134.3+0.07</f>
        <v>134.37</v>
      </c>
      <c r="G34" s="19">
        <f t="shared" si="1"/>
        <v>0.4669715865669821</v>
      </c>
      <c r="H34" s="5">
        <f t="shared" si="3"/>
        <v>353840.94000000006</v>
      </c>
      <c r="I34" s="5">
        <f t="shared" si="4"/>
        <v>5276.14</v>
      </c>
      <c r="J34" s="19">
        <f t="shared" si="2"/>
        <v>1.4911050145864972</v>
      </c>
    </row>
    <row r="35" spans="1:10" ht="12.75">
      <c r="A35" s="1" t="s">
        <v>36</v>
      </c>
      <c r="B35" s="3">
        <f>5873463.26+8006.67+12047.56+1485.72-15543.38</f>
        <v>5879459.829999999</v>
      </c>
      <c r="C35" s="3">
        <v>50817.13</v>
      </c>
      <c r="D35" s="19">
        <f t="shared" si="0"/>
        <v>0.8643163057379033</v>
      </c>
      <c r="E35" s="3">
        <f>1170638.9+576608.72+261916.76+19089.91+1347.55+819.59+156.66+3.61-1762.68-694.41</f>
        <v>2028124.61</v>
      </c>
      <c r="F35" s="3">
        <f>3619.83+71.56+325.97</f>
        <v>4017.3599999999997</v>
      </c>
      <c r="G35" s="19">
        <f t="shared" si="1"/>
        <v>0.19808250342172018</v>
      </c>
      <c r="H35" s="5">
        <f t="shared" si="3"/>
        <v>7907584.4399999995</v>
      </c>
      <c r="I35" s="5">
        <f t="shared" si="4"/>
        <v>54834.49</v>
      </c>
      <c r="J35" s="19">
        <f t="shared" si="2"/>
        <v>0.6934417256757109</v>
      </c>
    </row>
    <row r="36" spans="1:10" ht="12.75">
      <c r="A36" s="1" t="s">
        <v>37</v>
      </c>
      <c r="B36" s="3">
        <f>599209.65+54.57+2998.14+21.96-1699.83</f>
        <v>600584.49</v>
      </c>
      <c r="C36" s="3">
        <v>17219.88</v>
      </c>
      <c r="D36" s="19">
        <f t="shared" si="0"/>
        <v>2.8671869298522843</v>
      </c>
      <c r="E36" s="3">
        <f>25629+4891.4+2771.46+103.35+3.39+230.47+70.88+54.41-1046.87-70.88</f>
        <v>32636.61</v>
      </c>
      <c r="F36" s="3">
        <f>580.31+75.91</f>
        <v>656.2199999999999</v>
      </c>
      <c r="G36" s="19">
        <f t="shared" si="1"/>
        <v>2.010686771695957</v>
      </c>
      <c r="H36" s="5">
        <f t="shared" si="3"/>
        <v>633221.1</v>
      </c>
      <c r="I36" s="5">
        <f t="shared" si="4"/>
        <v>17876.100000000002</v>
      </c>
      <c r="J36" s="19">
        <f t="shared" si="2"/>
        <v>2.823042378088791</v>
      </c>
    </row>
    <row r="37" spans="1:10" ht="12.75">
      <c r="A37" s="1" t="s">
        <v>38</v>
      </c>
      <c r="B37" s="3">
        <f>162695.45+115.26+3998.13+685.07-2596.47</f>
        <v>164897.44000000003</v>
      </c>
      <c r="C37" s="3">
        <v>8375.44</v>
      </c>
      <c r="D37" s="19">
        <f t="shared" si="0"/>
        <v>5.07918133841253</v>
      </c>
      <c r="E37" s="3">
        <f>8248.2+691.12+6.22</f>
        <v>8945.54</v>
      </c>
      <c r="F37" s="3">
        <f>554.4+30.9</f>
        <v>585.3</v>
      </c>
      <c r="G37" s="19">
        <f t="shared" si="1"/>
        <v>6.542925301323339</v>
      </c>
      <c r="H37" s="5">
        <f t="shared" si="3"/>
        <v>173842.98000000004</v>
      </c>
      <c r="I37" s="5">
        <f t="shared" si="4"/>
        <v>8960.74</v>
      </c>
      <c r="J37" s="19">
        <f t="shared" si="2"/>
        <v>5.154502068475815</v>
      </c>
    </row>
    <row r="38" spans="1:10" ht="12.75">
      <c r="A38" s="1" t="s">
        <v>39</v>
      </c>
      <c r="B38" s="3">
        <f>446097.36+78.69+8936.21+474.13-2777.51</f>
        <v>452808.88</v>
      </c>
      <c r="C38" s="3">
        <f>22391.97+269.63+585</f>
        <v>23246.600000000002</v>
      </c>
      <c r="D38" s="19">
        <f t="shared" si="0"/>
        <v>5.133865749275942</v>
      </c>
      <c r="E38" s="3">
        <f>27274.32+0.1+1396.69+4224.17+0.79+0.1-0.44</f>
        <v>32895.729999999996</v>
      </c>
      <c r="F38" s="3">
        <f>305.33+18.27</f>
        <v>323.59999999999997</v>
      </c>
      <c r="G38" s="19">
        <f t="shared" si="1"/>
        <v>0.9837142996978635</v>
      </c>
      <c r="H38" s="5">
        <f t="shared" si="3"/>
        <v>485704.61</v>
      </c>
      <c r="I38" s="5">
        <f t="shared" si="4"/>
        <v>23570.2</v>
      </c>
      <c r="J38" s="19">
        <f t="shared" si="2"/>
        <v>4.852784905624017</v>
      </c>
    </row>
    <row r="39" spans="1:10" ht="12.75">
      <c r="A39" s="1" t="s">
        <v>40</v>
      </c>
      <c r="B39" s="3">
        <f>28019894.55+1194.38+3953.49-33323.81</f>
        <v>27991718.61</v>
      </c>
      <c r="C39" s="3">
        <f>216891.36+90.97</f>
        <v>216982.33</v>
      </c>
      <c r="D39" s="19">
        <f t="shared" si="0"/>
        <v>0.7751661590456378</v>
      </c>
      <c r="E39" s="3">
        <f>4282035.94+610147.37+167.18+544772.19+13658.97+6313.54+0.8+1213.42-13404.05-676.24</f>
        <v>5444229.119999999</v>
      </c>
      <c r="F39" s="3">
        <f>21004.23+12.02+1866.12+8</f>
        <v>22890.37</v>
      </c>
      <c r="G39" s="19">
        <f t="shared" si="1"/>
        <v>0.42045199596595967</v>
      </c>
      <c r="H39" s="5">
        <f t="shared" si="3"/>
        <v>33435947.729999997</v>
      </c>
      <c r="I39" s="5">
        <f t="shared" si="4"/>
        <v>239872.69999999998</v>
      </c>
      <c r="J39" s="19">
        <f t="shared" si="2"/>
        <v>0.7174096033915531</v>
      </c>
    </row>
    <row r="40" spans="1:10" ht="12.75">
      <c r="A40" s="1" t="s">
        <v>41</v>
      </c>
      <c r="B40" s="14">
        <f>577111.28+43.92+95.68+57.71-2012.02</f>
        <v>575296.5700000001</v>
      </c>
      <c r="C40" s="14">
        <f>11791.43+120.08</f>
        <v>11911.51</v>
      </c>
      <c r="D40" s="18">
        <f t="shared" si="0"/>
        <v>2.07049904712625</v>
      </c>
      <c r="E40" s="14">
        <f>69884.18+37692.34+16265.47+49.99+0.29-61.93</f>
        <v>123830.34</v>
      </c>
      <c r="F40" s="14">
        <f>660.24+196.13+7.61</f>
        <v>863.98</v>
      </c>
      <c r="G40" s="18">
        <f t="shared" si="1"/>
        <v>0.697712693028219</v>
      </c>
      <c r="H40" s="15">
        <f t="shared" si="3"/>
        <v>699126.91</v>
      </c>
      <c r="I40" s="15">
        <f t="shared" si="4"/>
        <v>12775.49</v>
      </c>
      <c r="J40" s="18">
        <f t="shared" si="2"/>
        <v>1.827349200447741</v>
      </c>
    </row>
    <row r="41" spans="1:10" ht="12.75">
      <c r="A41" s="1" t="s">
        <v>42</v>
      </c>
      <c r="B41" s="3">
        <f>1209573.29+75.64+91897.14+3050-10414.41</f>
        <v>1294181.66</v>
      </c>
      <c r="C41" s="3">
        <v>118377.17</v>
      </c>
      <c r="D41" s="19">
        <f t="shared" si="0"/>
        <v>9.14687432674637</v>
      </c>
      <c r="E41" s="3">
        <f>560184.46+283131.99+57577.71+447-10.78</f>
        <v>901330.3799999999</v>
      </c>
      <c r="F41" s="3">
        <f>14448.82+10.01+570.4+9.6</f>
        <v>15038.83</v>
      </c>
      <c r="G41" s="19">
        <f t="shared" si="1"/>
        <v>1.6685147126628532</v>
      </c>
      <c r="H41" s="5">
        <f t="shared" si="3"/>
        <v>2195512.04</v>
      </c>
      <c r="I41" s="5">
        <f t="shared" si="4"/>
        <v>133416</v>
      </c>
      <c r="J41" s="19">
        <f t="shared" si="2"/>
        <v>6.076760116514778</v>
      </c>
    </row>
    <row r="42" spans="1:10" ht="12.75">
      <c r="A42" s="1" t="s">
        <v>43</v>
      </c>
      <c r="B42" s="14">
        <f>3441171.15+422.6+124.07-4961.79</f>
        <v>3436756.03</v>
      </c>
      <c r="C42" s="5">
        <v>84333.48</v>
      </c>
      <c r="D42" s="19">
        <f t="shared" si="0"/>
        <v>2.453868684999441</v>
      </c>
      <c r="E42" s="14">
        <v>890354</v>
      </c>
      <c r="F42" s="14">
        <f>5968.23+250.8+179.75</f>
        <v>6398.78</v>
      </c>
      <c r="G42" s="18">
        <f>F42/E42*100</f>
        <v>0.7186781886755155</v>
      </c>
      <c r="H42" s="15">
        <f>(B42+E42)</f>
        <v>4327110.029999999</v>
      </c>
      <c r="I42" s="15">
        <f>(C42+F42)</f>
        <v>90732.26</v>
      </c>
      <c r="J42" s="18">
        <f t="shared" si="2"/>
        <v>2.0968327445096193</v>
      </c>
    </row>
    <row r="43" spans="1:10" ht="12.75">
      <c r="A43" s="1" t="s">
        <v>44</v>
      </c>
      <c r="B43" s="3">
        <f>236399.92+105.89+103.7-994.29</f>
        <v>235615.22000000003</v>
      </c>
      <c r="C43" s="3">
        <v>8298.77</v>
      </c>
      <c r="D43" s="19">
        <f t="shared" si="0"/>
        <v>3.522170596619352</v>
      </c>
      <c r="E43" s="3">
        <f>94912.92+45492.2+26250.74+3283.21+39.73+2.42-1088.94</f>
        <v>168892.28</v>
      </c>
      <c r="F43" s="3">
        <f>460.41+1118.45+199.9</f>
        <v>1778.7600000000002</v>
      </c>
      <c r="G43" s="19">
        <f t="shared" si="1"/>
        <v>1.053192010907781</v>
      </c>
      <c r="H43" s="5">
        <f t="shared" si="3"/>
        <v>404507.5</v>
      </c>
      <c r="I43" s="5">
        <f t="shared" si="4"/>
        <v>10077.53</v>
      </c>
      <c r="J43" s="19">
        <f t="shared" si="2"/>
        <v>2.4913085665902366</v>
      </c>
    </row>
    <row r="44" spans="1:10" ht="12.75">
      <c r="A44" s="1" t="s">
        <v>45</v>
      </c>
      <c r="B44" s="16">
        <f>473231.27+2287.07+95.5+8865.65-906.28</f>
        <v>483573.21</v>
      </c>
      <c r="C44" s="14">
        <v>11836.32</v>
      </c>
      <c r="D44" s="18">
        <f t="shared" si="0"/>
        <v>2.4476790184468653</v>
      </c>
      <c r="E44" s="14">
        <f>103915.92+348609.05+68703.29+2680.64+0.2</f>
        <v>523909.1</v>
      </c>
      <c r="F44" s="14">
        <v>147.02</v>
      </c>
      <c r="G44" s="18">
        <f t="shared" si="1"/>
        <v>0.02806211993645463</v>
      </c>
      <c r="H44" s="15">
        <f t="shared" si="3"/>
        <v>1007482.31</v>
      </c>
      <c r="I44" s="15">
        <f t="shared" si="4"/>
        <v>11983.34</v>
      </c>
      <c r="J44" s="18">
        <f t="shared" si="2"/>
        <v>1.1894342839627625</v>
      </c>
    </row>
    <row r="45" spans="1:10" ht="12.75">
      <c r="A45" s="1" t="s">
        <v>46</v>
      </c>
      <c r="B45" s="14">
        <f>818620+373.2+83.22+389.39-2827.59</f>
        <v>816638.22</v>
      </c>
      <c r="C45" s="14">
        <v>17646.32</v>
      </c>
      <c r="D45" s="18">
        <f t="shared" si="0"/>
        <v>2.160849145659629</v>
      </c>
      <c r="E45" s="14">
        <f>33885.52+61.17+197.19+11848.49+4161.35+0.5+19.79+40.48+20.49+0.15-4.97</f>
        <v>50230.159999999996</v>
      </c>
      <c r="F45" s="14">
        <f>355.94+4.8</f>
        <v>360.74</v>
      </c>
      <c r="G45" s="18">
        <f t="shared" si="1"/>
        <v>0.7181741009783764</v>
      </c>
      <c r="H45" s="15">
        <f t="shared" si="3"/>
        <v>866868.38</v>
      </c>
      <c r="I45" s="15">
        <f t="shared" si="4"/>
        <v>18007.06</v>
      </c>
      <c r="J45" s="18">
        <f t="shared" si="2"/>
        <v>2.0772542193775716</v>
      </c>
    </row>
    <row r="46" spans="1:10" ht="12.75">
      <c r="A46" s="1" t="s">
        <v>47</v>
      </c>
      <c r="B46" s="3">
        <f>1200120.5+90-964.53</f>
        <v>1199245.97</v>
      </c>
      <c r="C46" s="3">
        <v>26571</v>
      </c>
      <c r="D46" s="19">
        <f t="shared" si="0"/>
        <v>2.2156422172508945</v>
      </c>
      <c r="E46" s="3">
        <f>104714.74+35048.23+27059.17-2139.14</f>
        <v>164683</v>
      </c>
      <c r="F46" s="3">
        <f>529.47+5.77</f>
        <v>535.24</v>
      </c>
      <c r="G46" s="19">
        <f t="shared" si="1"/>
        <v>0.3250122963511716</v>
      </c>
      <c r="H46" s="5">
        <f t="shared" si="3"/>
        <v>1363928.97</v>
      </c>
      <c r="I46" s="5">
        <f t="shared" si="4"/>
        <v>27106.24</v>
      </c>
      <c r="J46" s="19">
        <f t="shared" si="2"/>
        <v>1.987364488636091</v>
      </c>
    </row>
    <row r="47" spans="1:10" ht="12.75">
      <c r="A47" s="1" t="s">
        <v>48</v>
      </c>
      <c r="B47" s="3">
        <f>1664155.79+570.35+3429.92-4971.62</f>
        <v>1663184.44</v>
      </c>
      <c r="C47" s="3">
        <v>25251.98</v>
      </c>
      <c r="D47" s="19">
        <f t="shared" si="0"/>
        <v>1.5182910200867439</v>
      </c>
      <c r="E47" s="3">
        <f>295932.52+57772.99+81596.99+2982.64+52.75+2237.61+582.98-2551.73</f>
        <v>438606.75</v>
      </c>
      <c r="F47" s="3">
        <f>3526.6+93.15+0.04</f>
        <v>3619.79</v>
      </c>
      <c r="G47" s="19">
        <f t="shared" si="1"/>
        <v>0.8252928164010245</v>
      </c>
      <c r="H47" s="5">
        <f t="shared" si="3"/>
        <v>2101791.19</v>
      </c>
      <c r="I47" s="5">
        <f t="shared" si="4"/>
        <v>28871.77</v>
      </c>
      <c r="J47" s="19">
        <f t="shared" si="2"/>
        <v>1.3736745180666592</v>
      </c>
    </row>
    <row r="48" spans="1:10" ht="12.75">
      <c r="A48" s="1" t="s">
        <v>49</v>
      </c>
      <c r="B48" s="3">
        <f>1234878.11+1061.48+244.94-4235.23+2805</f>
        <v>1234754.3</v>
      </c>
      <c r="C48" s="3">
        <f>28226.69+71.98</f>
        <v>28298.67</v>
      </c>
      <c r="D48" s="19">
        <f t="shared" si="0"/>
        <v>2.291846240179119</v>
      </c>
      <c r="E48" s="3">
        <f>170102.14+130766.09+46960.28+148.94+0.12+6486.96-6485.46</f>
        <v>347979.07</v>
      </c>
      <c r="F48" s="3">
        <f>2334.51+300.14</f>
        <v>2634.65</v>
      </c>
      <c r="G48" s="19">
        <f t="shared" si="1"/>
        <v>0.7571288698484079</v>
      </c>
      <c r="H48" s="5">
        <f t="shared" si="3"/>
        <v>1582733.37</v>
      </c>
      <c r="I48" s="5">
        <f t="shared" si="4"/>
        <v>30933.32</v>
      </c>
      <c r="J48" s="19">
        <f t="shared" si="2"/>
        <v>1.9544239469721927</v>
      </c>
    </row>
    <row r="49" spans="1:10" ht="12.75">
      <c r="A49" s="1" t="s">
        <v>50</v>
      </c>
      <c r="B49" s="3">
        <f>383008.04+5446.22+23.92-1423.62</f>
        <v>387054.55999999994</v>
      </c>
      <c r="C49" s="3">
        <v>10960.34</v>
      </c>
      <c r="D49" s="19">
        <f t="shared" si="0"/>
        <v>2.831729976259678</v>
      </c>
      <c r="E49" s="3">
        <f>32371.61+3681.09+4423.16-12.59</f>
        <v>40463.270000000004</v>
      </c>
      <c r="F49" s="3">
        <f>1223.88+55.02</f>
        <v>1278.9</v>
      </c>
      <c r="G49" s="19">
        <f t="shared" si="1"/>
        <v>3.160644208933188</v>
      </c>
      <c r="H49" s="5">
        <f t="shared" si="3"/>
        <v>427517.82999999996</v>
      </c>
      <c r="I49" s="5">
        <f t="shared" si="4"/>
        <v>12239.24</v>
      </c>
      <c r="J49" s="19">
        <f t="shared" si="2"/>
        <v>2.862860713902857</v>
      </c>
    </row>
    <row r="50" spans="1:10" ht="12.75">
      <c r="A50" s="1" t="s">
        <v>51</v>
      </c>
      <c r="B50" s="14">
        <f>1551225.12+824.98+11130.08+10379.96-14464.53</f>
        <v>1559095.61</v>
      </c>
      <c r="C50" s="14">
        <v>53751.06</v>
      </c>
      <c r="D50" s="18">
        <f t="shared" si="0"/>
        <v>3.447579459222516</v>
      </c>
      <c r="E50" s="14">
        <f>212786.63+199.67+164701.21+52962.09+2.16+114.74+2.75-136.2</f>
        <v>430633.04999999993</v>
      </c>
      <c r="F50" s="14">
        <f>6747.21+184.75</f>
        <v>6931.96</v>
      </c>
      <c r="G50" s="18">
        <f>F50/E50*100</f>
        <v>1.6097138851743964</v>
      </c>
      <c r="H50" s="15">
        <f t="shared" si="3"/>
        <v>1989728.6600000001</v>
      </c>
      <c r="I50" s="15">
        <f t="shared" si="4"/>
        <v>60683.02</v>
      </c>
      <c r="J50" s="18">
        <f t="shared" si="2"/>
        <v>3.0498138374304764</v>
      </c>
    </row>
    <row r="51" spans="1:10" ht="12.75">
      <c r="A51" s="1" t="s">
        <v>52</v>
      </c>
      <c r="B51" s="14">
        <f>419951.62+123.77+1726.4+110.82+51000-602.18</f>
        <v>472310.43000000005</v>
      </c>
      <c r="C51" s="14">
        <v>5043.33</v>
      </c>
      <c r="D51" s="18">
        <f t="shared" si="0"/>
        <v>1.067799836645572</v>
      </c>
      <c r="E51" s="14">
        <f>313197.72+10.77+724126.34+87888.86+126.07+11.65</f>
        <v>1125361.41</v>
      </c>
      <c r="F51" s="14">
        <f>6.18+142.91</f>
        <v>149.09</v>
      </c>
      <c r="G51" s="18">
        <f aca="true" t="shared" si="5" ref="G51:G114">F51/E51*100</f>
        <v>0.013248188419753972</v>
      </c>
      <c r="H51" s="15">
        <f t="shared" si="3"/>
        <v>1597671.8399999999</v>
      </c>
      <c r="I51" s="15">
        <f t="shared" si="4"/>
        <v>5192.42</v>
      </c>
      <c r="J51" s="18">
        <f t="shared" si="2"/>
        <v>0.32499915627229187</v>
      </c>
    </row>
    <row r="52" spans="1:10" ht="12.75">
      <c r="A52" s="1" t="s">
        <v>53</v>
      </c>
      <c r="B52" s="3">
        <f>6747818.81+1304.55+1497.97+540.15+1350-19474.06</f>
        <v>6733037.42</v>
      </c>
      <c r="C52" s="3">
        <v>114948.71</v>
      </c>
      <c r="D52" s="19">
        <f t="shared" si="0"/>
        <v>1.7072340881182864</v>
      </c>
      <c r="E52" s="3">
        <f>936882.38+737640.73+176930.43+185.97+0.02+55.83-1966.26-51.23</f>
        <v>1849677.8699999999</v>
      </c>
      <c r="F52" s="3">
        <f>11253.13+1019.97</f>
        <v>12273.099999999999</v>
      </c>
      <c r="G52" s="19">
        <f t="shared" si="5"/>
        <v>0.6635263468876339</v>
      </c>
      <c r="H52" s="5">
        <f t="shared" si="3"/>
        <v>8582715.29</v>
      </c>
      <c r="I52" s="5">
        <f t="shared" si="4"/>
        <v>127221.81</v>
      </c>
      <c r="J52" s="19">
        <f t="shared" si="2"/>
        <v>1.4823025779292744</v>
      </c>
    </row>
    <row r="53" spans="1:10" ht="12.75">
      <c r="A53" s="1" t="s">
        <v>54</v>
      </c>
      <c r="B53" s="3">
        <f>702862.33+47953.33+1917.91-5185.32</f>
        <v>747548.25</v>
      </c>
      <c r="C53" s="3">
        <v>56691.99</v>
      </c>
      <c r="D53" s="19">
        <f t="shared" si="0"/>
        <v>7.583723191111743</v>
      </c>
      <c r="E53" s="3">
        <f>1007746.18+92308.14+20225.31+27.9+0.08-7336.78</f>
        <v>1112970.83</v>
      </c>
      <c r="F53" s="3">
        <f>72778.77+12087.74+162.99</f>
        <v>85029.50000000001</v>
      </c>
      <c r="G53" s="19">
        <f t="shared" si="5"/>
        <v>7.639867794199064</v>
      </c>
      <c r="H53" s="5">
        <f t="shared" si="3"/>
        <v>1860519.08</v>
      </c>
      <c r="I53" s="5">
        <f>(C53+F53)</f>
        <v>141721.49000000002</v>
      </c>
      <c r="J53" s="19">
        <f t="shared" si="2"/>
        <v>7.617309143639635</v>
      </c>
    </row>
    <row r="54" spans="1:10" ht="12.75">
      <c r="A54" s="1" t="s">
        <v>55</v>
      </c>
      <c r="B54" s="14">
        <f>954510.09+439.2+409.31-3108.33</f>
        <v>952250.27</v>
      </c>
      <c r="C54" s="14">
        <v>12666.21</v>
      </c>
      <c r="D54" s="18">
        <f t="shared" si="0"/>
        <v>1.3301345664097317</v>
      </c>
      <c r="E54" s="14">
        <v>292411</v>
      </c>
      <c r="F54" s="14">
        <f>542.42+1563.18+1944.22</f>
        <v>4049.8199999999997</v>
      </c>
      <c r="G54" s="18">
        <f t="shared" si="5"/>
        <v>1.384975257428756</v>
      </c>
      <c r="H54" s="15">
        <f t="shared" si="3"/>
        <v>1244661.27</v>
      </c>
      <c r="I54" s="15">
        <f t="shared" si="4"/>
        <v>16716.03</v>
      </c>
      <c r="J54" s="18">
        <f t="shared" si="2"/>
        <v>1.3430184101414193</v>
      </c>
    </row>
    <row r="55" spans="1:10" ht="12.75">
      <c r="A55" s="1" t="s">
        <v>56</v>
      </c>
      <c r="B55" s="14">
        <f>768032.37+41.36+3324.03-2667.9+1758.03</f>
        <v>770487.89</v>
      </c>
      <c r="C55" s="14">
        <v>17199.43</v>
      </c>
      <c r="D55" s="18">
        <f>C55/B55*100</f>
        <v>2.232277784404892</v>
      </c>
      <c r="E55" s="14">
        <f>61092.32+260419.45+44737.98+726.82+8.24+4.5-11.1-0.01</f>
        <v>366978.2</v>
      </c>
      <c r="F55" s="14">
        <f>228.07+44.67</f>
        <v>272.74</v>
      </c>
      <c r="G55" s="18">
        <f>F55/E55*100</f>
        <v>0.07432049097194329</v>
      </c>
      <c r="H55" s="15">
        <f>(B55+E55)</f>
        <v>1137466.09</v>
      </c>
      <c r="I55" s="15">
        <f>(C55+F55)</f>
        <v>17472.170000000002</v>
      </c>
      <c r="J55" s="18">
        <f>I55/H55*100</f>
        <v>1.5360607365446823</v>
      </c>
    </row>
    <row r="56" spans="1:10" ht="12.75">
      <c r="A56" s="1" t="s">
        <v>57</v>
      </c>
      <c r="B56" s="3">
        <f>2469448.07+1.59+51438.64+250.94+20753.19-2285.91</f>
        <v>2539606.5199999996</v>
      </c>
      <c r="C56" s="3">
        <v>36120.52</v>
      </c>
      <c r="D56" s="19">
        <f t="shared" si="0"/>
        <v>1.4222880479925686</v>
      </c>
      <c r="E56" s="3">
        <f>702680.47+514639.4+1000.62+144517.09+100.49+7198.95+82.08-3044.6-20</f>
        <v>1367154.5000000002</v>
      </c>
      <c r="F56" s="3">
        <f>2631.99+41</f>
        <v>2672.99</v>
      </c>
      <c r="G56" s="19">
        <f t="shared" si="5"/>
        <v>0.19551484488402734</v>
      </c>
      <c r="H56" s="5">
        <f t="shared" si="3"/>
        <v>3906761.0199999996</v>
      </c>
      <c r="I56" s="5">
        <f t="shared" si="4"/>
        <v>38793.509999999995</v>
      </c>
      <c r="J56" s="19">
        <f t="shared" si="2"/>
        <v>0.9929839527271621</v>
      </c>
    </row>
    <row r="57" spans="1:10" ht="12.75">
      <c r="A57" s="1" t="s">
        <v>58</v>
      </c>
      <c r="B57" s="14">
        <f>831614.42+43.92+512.4+726.63-5039.45</f>
        <v>827857.9200000002</v>
      </c>
      <c r="C57" s="14">
        <v>18764.21</v>
      </c>
      <c r="D57" s="18">
        <f t="shared" si="0"/>
        <v>2.266597872253248</v>
      </c>
      <c r="E57" s="14">
        <f>68445.17+42991.89+25948.18+64.62+55.61+13.8-251.12-64.33</f>
        <v>137203.81999999998</v>
      </c>
      <c r="F57" s="14">
        <f>298.94+63.08+0.2</f>
        <v>362.21999999999997</v>
      </c>
      <c r="G57" s="18">
        <f t="shared" si="5"/>
        <v>0.2640013958795025</v>
      </c>
      <c r="H57" s="15">
        <f t="shared" si="3"/>
        <v>965061.7400000001</v>
      </c>
      <c r="I57" s="15">
        <f t="shared" si="4"/>
        <v>19126.43</v>
      </c>
      <c r="J57" s="18">
        <f t="shared" si="2"/>
        <v>1.981886671830965</v>
      </c>
    </row>
    <row r="58" spans="1:10" ht="12.75">
      <c r="A58" s="1" t="s">
        <v>59</v>
      </c>
      <c r="B58" s="3">
        <f>200443.81+8.81+4.03-689.3</f>
        <v>199767.35</v>
      </c>
      <c r="C58" s="3">
        <v>2780.44</v>
      </c>
      <c r="D58" s="19">
        <f t="shared" si="0"/>
        <v>1.3918390567828025</v>
      </c>
      <c r="E58" s="7">
        <f>44997.57+632.7+10462.51+2.15+18.23</f>
        <v>56113.16</v>
      </c>
      <c r="F58" s="3">
        <v>0</v>
      </c>
      <c r="G58" s="19">
        <f t="shared" si="5"/>
        <v>0</v>
      </c>
      <c r="H58" s="5">
        <f t="shared" si="3"/>
        <v>255880.51</v>
      </c>
      <c r="I58" s="5">
        <f t="shared" si="4"/>
        <v>2780.44</v>
      </c>
      <c r="J58" s="19">
        <f t="shared" si="2"/>
        <v>1.086616561769398</v>
      </c>
    </row>
    <row r="59" spans="1:10" ht="12.75">
      <c r="A59" s="1" t="s">
        <v>60</v>
      </c>
      <c r="B59" s="3">
        <f>2125199.61+2402.18+15847.85+3882.72+1020-13346.05</f>
        <v>2135006.3100000005</v>
      </c>
      <c r="C59" s="3">
        <v>45872.41</v>
      </c>
      <c r="D59" s="19">
        <f t="shared" si="0"/>
        <v>2.148584282170107</v>
      </c>
      <c r="E59" s="3">
        <f>1045975.39+1039.71+212279.16+14730.04+82537.29+129.21+1053.89+9562.28+26.9-932.63-106.65</f>
        <v>1366294.59</v>
      </c>
      <c r="F59" s="3">
        <f>6901.66+5320.57+2834.29+26.81+7.35</f>
        <v>15090.68</v>
      </c>
      <c r="G59" s="19">
        <f t="shared" si="5"/>
        <v>1.1044967981612224</v>
      </c>
      <c r="H59" s="5">
        <f t="shared" si="3"/>
        <v>3501300.9000000004</v>
      </c>
      <c r="I59" s="5">
        <f>(C59+F59)</f>
        <v>60963.090000000004</v>
      </c>
      <c r="J59" s="19">
        <f t="shared" si="2"/>
        <v>1.7411554088367556</v>
      </c>
    </row>
    <row r="60" spans="1:10" ht="12.75">
      <c r="A60" s="1" t="s">
        <v>61</v>
      </c>
      <c r="B60" s="3">
        <f>293651.05+264.13+15.86-2791.42</f>
        <v>291139.62</v>
      </c>
      <c r="C60" s="3">
        <v>21243.72</v>
      </c>
      <c r="D60" s="19">
        <f t="shared" si="0"/>
        <v>7.296746488849577</v>
      </c>
      <c r="E60" s="3">
        <f>26987.51+4949.14+2757.58+1.2</f>
        <v>34695.42999999999</v>
      </c>
      <c r="F60" s="3">
        <f>1076.35+99.02+93.14</f>
        <v>1268.51</v>
      </c>
      <c r="G60" s="19">
        <f t="shared" si="5"/>
        <v>3.6561299283507953</v>
      </c>
      <c r="H60" s="5">
        <f t="shared" si="3"/>
        <v>325835.05</v>
      </c>
      <c r="I60" s="5">
        <f t="shared" si="4"/>
        <v>22512.23</v>
      </c>
      <c r="J60" s="19">
        <f t="shared" si="2"/>
        <v>6.909087895854054</v>
      </c>
    </row>
    <row r="61" spans="1:10" ht="12.75">
      <c r="A61" s="1" t="s">
        <v>62</v>
      </c>
      <c r="B61" s="3">
        <f>63577136.04+19039.37+283.27+15671.43+28166.33-81908.42</f>
        <v>63558388.019999996</v>
      </c>
      <c r="C61" s="3">
        <v>857168.65</v>
      </c>
      <c r="D61" s="19">
        <f t="shared" si="0"/>
        <v>1.3486318276830334</v>
      </c>
      <c r="E61" s="3">
        <f>11083818.55+3591039.43+1774454.7+31122.21+20086.01+191134.09+126546.06+58102.93+6.97-122869.34-126.13-29792.13-267.71</f>
        <v>16723255.639999997</v>
      </c>
      <c r="F61" s="3">
        <f>192660.1+8862.51+9990.43+47.33</f>
        <v>211560.37</v>
      </c>
      <c r="G61" s="19">
        <f>F61/E61*100</f>
        <v>1.2650668898104582</v>
      </c>
      <c r="H61" s="5">
        <f t="shared" si="3"/>
        <v>80281643.66</v>
      </c>
      <c r="I61" s="5">
        <f t="shared" si="4"/>
        <v>1068729.02</v>
      </c>
      <c r="J61" s="19">
        <f t="shared" si="2"/>
        <v>1.3312246377592416</v>
      </c>
    </row>
    <row r="62" spans="1:10" ht="12.75">
      <c r="A62" s="1" t="s">
        <v>63</v>
      </c>
      <c r="B62" s="3">
        <f>4008995.19+85.92+264.22-5729.03</f>
        <v>4003616.3000000003</v>
      </c>
      <c r="C62" s="3">
        <v>52487.78</v>
      </c>
      <c r="D62" s="19">
        <f t="shared" si="0"/>
        <v>1.3110092493129273</v>
      </c>
      <c r="E62" s="3">
        <f>429229.2+246.02+4661.96+137963.7+12.54+215.68+92275.24+135.75+2940.47+27.58-1818.75-12.54-135.75</f>
        <v>665741.1000000001</v>
      </c>
      <c r="F62" s="3">
        <f>4681.54+69.6+158.94+0.06</f>
        <v>4910.14</v>
      </c>
      <c r="G62" s="19">
        <f>F62/E62*100</f>
        <v>0.7375449705598768</v>
      </c>
      <c r="H62" s="5">
        <f t="shared" si="3"/>
        <v>4669357.4</v>
      </c>
      <c r="I62" s="5">
        <f t="shared" si="4"/>
        <v>57397.92</v>
      </c>
      <c r="J62" s="19">
        <f t="shared" si="2"/>
        <v>1.2292466625064937</v>
      </c>
    </row>
    <row r="63" spans="1:10" ht="12.75">
      <c r="A63" s="1" t="s">
        <v>64</v>
      </c>
      <c r="B63" s="3">
        <f>848676.48+1163.03+13571.66+1112.06-7003.92</f>
        <v>857519.31</v>
      </c>
      <c r="C63" s="3">
        <v>34369.45</v>
      </c>
      <c r="D63" s="19">
        <f t="shared" si="0"/>
        <v>4.008008869211353</v>
      </c>
      <c r="E63" s="3">
        <f>219169.88+4522.63+19466.8+19.95-429.13-15.76</f>
        <v>242734.37</v>
      </c>
      <c r="F63" s="3">
        <f>788.5+62.73</f>
        <v>851.23</v>
      </c>
      <c r="G63" s="19">
        <f t="shared" si="5"/>
        <v>0.35068375360275517</v>
      </c>
      <c r="H63" s="5">
        <f t="shared" si="3"/>
        <v>1100253.6800000002</v>
      </c>
      <c r="I63" s="5">
        <f t="shared" si="4"/>
        <v>35220.68</v>
      </c>
      <c r="J63" s="19">
        <f t="shared" si="2"/>
        <v>3.2011417585079105</v>
      </c>
    </row>
    <row r="64" spans="1:10" ht="12.75">
      <c r="A64" s="1" t="s">
        <v>65</v>
      </c>
      <c r="B64" s="14">
        <f>11762987.93+2713.28+129.76-17842.99</f>
        <v>11747987.979999999</v>
      </c>
      <c r="C64" s="14">
        <v>143664.19</v>
      </c>
      <c r="D64" s="18">
        <f t="shared" si="0"/>
        <v>1.2228833587894088</v>
      </c>
      <c r="E64" s="14">
        <f>1303279.42+550.73+439420.62+221117.1+1510.69+27.56-1257.17-1509.44</f>
        <v>1963139.5100000002</v>
      </c>
      <c r="F64" s="14">
        <f>788.5+62.73+7.5</f>
        <v>858.73</v>
      </c>
      <c r="G64" s="18">
        <f t="shared" si="5"/>
        <v>0.04374268846537554</v>
      </c>
      <c r="H64" s="15">
        <f t="shared" si="3"/>
        <v>13711127.489999998</v>
      </c>
      <c r="I64" s="15">
        <f t="shared" si="4"/>
        <v>144522.92</v>
      </c>
      <c r="J64" s="18">
        <f t="shared" si="2"/>
        <v>1.0540556938545398</v>
      </c>
    </row>
    <row r="65" spans="1:10" ht="12.75">
      <c r="A65" s="1" t="s">
        <v>66</v>
      </c>
      <c r="B65" s="3">
        <f>360733.34+109994.29+681.55-3771.39</f>
        <v>467637.79</v>
      </c>
      <c r="C65" s="3">
        <v>57044.87</v>
      </c>
      <c r="D65" s="19">
        <f t="shared" si="0"/>
        <v>12.198515864169147</v>
      </c>
      <c r="E65" s="3">
        <f>500433.37+40651.08+2534.37+13.86-207.2</f>
        <v>543425.48</v>
      </c>
      <c r="F65" s="3">
        <f>96232.77+5391.15+44.05</f>
        <v>101667.97</v>
      </c>
      <c r="G65" s="19">
        <f t="shared" si="5"/>
        <v>18.708723411349794</v>
      </c>
      <c r="H65" s="5">
        <f t="shared" si="3"/>
        <v>1011063.27</v>
      </c>
      <c r="I65" s="5">
        <f t="shared" si="4"/>
        <v>158712.84</v>
      </c>
      <c r="J65" s="19">
        <f t="shared" si="2"/>
        <v>15.697617024501346</v>
      </c>
    </row>
    <row r="66" spans="1:10" ht="12.75">
      <c r="A66" s="1" t="s">
        <v>67</v>
      </c>
      <c r="B66" s="3">
        <f>993948.6+84.49+29898.99+2525.63-6807.9</f>
        <v>1019649.8099999999</v>
      </c>
      <c r="C66" s="3">
        <f>63140.91+323.11</f>
        <v>63464.020000000004</v>
      </c>
      <c r="D66" s="19">
        <f t="shared" si="0"/>
        <v>6.224099624948687</v>
      </c>
      <c r="E66" s="3">
        <v>333270</v>
      </c>
      <c r="F66" s="3">
        <f>10805.44+7.02+492.97</f>
        <v>11305.43</v>
      </c>
      <c r="G66" s="19">
        <f t="shared" si="5"/>
        <v>3.3922735319710746</v>
      </c>
      <c r="H66" s="5">
        <f t="shared" si="3"/>
        <v>1352919.81</v>
      </c>
      <c r="I66" s="5">
        <f t="shared" si="4"/>
        <v>74769.45000000001</v>
      </c>
      <c r="J66" s="19">
        <f t="shared" si="2"/>
        <v>5.526524886940639</v>
      </c>
    </row>
    <row r="67" spans="1:10" ht="12.75">
      <c r="A67" s="1" t="s">
        <v>68</v>
      </c>
      <c r="B67" s="3">
        <f>643619.96+87.84-2956.13</f>
        <v>640751.6699999999</v>
      </c>
      <c r="C67" s="3">
        <v>17457.18</v>
      </c>
      <c r="D67" s="19">
        <f t="shared" si="0"/>
        <v>2.724484510512474</v>
      </c>
      <c r="E67" s="3">
        <f>45868.95+53.76+13541.86+11409.46+113.29+19088+6.05+15.31-28.45-1.4</f>
        <v>90066.83</v>
      </c>
      <c r="F67" s="3">
        <f>1381.54+87.22</f>
        <v>1468.76</v>
      </c>
      <c r="G67" s="19">
        <f t="shared" si="5"/>
        <v>1.63074463706561</v>
      </c>
      <c r="H67" s="5">
        <f t="shared" si="3"/>
        <v>730818.4999999999</v>
      </c>
      <c r="I67" s="5">
        <f t="shared" si="4"/>
        <v>18925.94</v>
      </c>
      <c r="J67" s="19">
        <f t="shared" si="2"/>
        <v>2.5896908739994955</v>
      </c>
    </row>
    <row r="68" spans="1:10" ht="12.75">
      <c r="A68" s="1" t="s">
        <v>69</v>
      </c>
      <c r="B68" s="3">
        <f>2734156.83+694.18+1558.03+910.63-9643.2+4257.46</f>
        <v>2731933.9299999997</v>
      </c>
      <c r="C68" s="3">
        <v>90592.3</v>
      </c>
      <c r="D68" s="19">
        <f>C68/B68*100</f>
        <v>3.3160501798811812</v>
      </c>
      <c r="E68" s="3">
        <f>777502.9+233914.61+105295.79+2544.25+13.03+31.86+187.65+102.53-1235.52-62.31</f>
        <v>1118294.79</v>
      </c>
      <c r="F68" s="3">
        <f>27613.41+5566.19+1381.32+12.11</f>
        <v>34573.03</v>
      </c>
      <c r="G68" s="19">
        <f t="shared" si="5"/>
        <v>3.0915846437950405</v>
      </c>
      <c r="H68" s="5">
        <f t="shared" si="3"/>
        <v>3850228.7199999997</v>
      </c>
      <c r="I68" s="5">
        <f t="shared" si="4"/>
        <v>125165.33</v>
      </c>
      <c r="J68" s="19">
        <f t="shared" si="2"/>
        <v>3.25085440638446</v>
      </c>
    </row>
    <row r="69" spans="1:10" ht="12.75">
      <c r="A69" s="1" t="s">
        <v>70</v>
      </c>
      <c r="B69" s="3">
        <f>525628.3+648.8+19055.73+219.6-5466.98</f>
        <v>540085.4500000001</v>
      </c>
      <c r="C69" s="3">
        <v>30260.56</v>
      </c>
      <c r="D69" s="19">
        <f t="shared" si="0"/>
        <v>5.602920797070167</v>
      </c>
      <c r="E69" s="3">
        <f>150694.72+7546.09+9123.3+70.12+85.05</f>
        <v>167519.27999999997</v>
      </c>
      <c r="F69" s="3">
        <f>4212+110.98+5.63</f>
        <v>4328.61</v>
      </c>
      <c r="G69" s="19">
        <f t="shared" si="5"/>
        <v>2.5839473522092504</v>
      </c>
      <c r="H69" s="5">
        <f t="shared" si="3"/>
        <v>707604.73</v>
      </c>
      <c r="I69" s="5">
        <f t="shared" si="4"/>
        <v>34589.17</v>
      </c>
      <c r="J69" s="19">
        <f t="shared" si="2"/>
        <v>4.888205029381305</v>
      </c>
    </row>
    <row r="70" spans="1:10" ht="12.75">
      <c r="A70" s="1" t="s">
        <v>71</v>
      </c>
      <c r="B70" s="3">
        <f>216911.52+188.73+57055.34-2323.58</f>
        <v>271832.00999999995</v>
      </c>
      <c r="C70" s="3">
        <v>25620.66</v>
      </c>
      <c r="D70" s="19">
        <f aca="true" t="shared" si="6" ref="D70:D125">C70/B70*100</f>
        <v>9.425181383163817</v>
      </c>
      <c r="E70" s="3">
        <f>34111.1+396.1+3098.43+6</f>
        <v>37611.63</v>
      </c>
      <c r="F70" s="3">
        <v>4718.48</v>
      </c>
      <c r="G70" s="19">
        <f t="shared" si="5"/>
        <v>12.545268577830845</v>
      </c>
      <c r="H70" s="5">
        <f t="shared" si="3"/>
        <v>309443.63999999996</v>
      </c>
      <c r="I70" s="5">
        <f t="shared" si="4"/>
        <v>30339.14</v>
      </c>
      <c r="J70" s="19">
        <f aca="true" t="shared" si="7" ref="J70:J125">I70/H70*100</f>
        <v>9.80441543409973</v>
      </c>
    </row>
    <row r="71" spans="1:10" ht="12.75">
      <c r="A71" s="1" t="s">
        <v>72</v>
      </c>
      <c r="B71" s="3">
        <f>242076.85+223.63+54433.19+180.56-2331.75</f>
        <v>294582.48000000004</v>
      </c>
      <c r="C71" s="3">
        <v>20975.31</v>
      </c>
      <c r="D71" s="19">
        <f t="shared" si="6"/>
        <v>7.120352167583081</v>
      </c>
      <c r="E71" s="3">
        <f>323990.03+27168.97+3647.22+13.63-6.53-13.63</f>
        <v>354799.68999999994</v>
      </c>
      <c r="F71" s="3">
        <f>36720.65+45.45</f>
        <v>36766.1</v>
      </c>
      <c r="G71" s="19">
        <f t="shared" si="5"/>
        <v>10.362494961593683</v>
      </c>
      <c r="H71" s="5">
        <f aca="true" t="shared" si="8" ref="H71:H125">(B71+E71)</f>
        <v>649382.1699999999</v>
      </c>
      <c r="I71" s="5">
        <f aca="true" t="shared" si="9" ref="I71:I125">(C71+F71)</f>
        <v>57741.41</v>
      </c>
      <c r="J71" s="19">
        <f t="shared" si="7"/>
        <v>8.891745518667383</v>
      </c>
    </row>
    <row r="72" spans="1:10" ht="12.75">
      <c r="A72" s="1" t="s">
        <v>73</v>
      </c>
      <c r="B72" s="3">
        <f>460749.16+154546.89+264.37-4557.49</f>
        <v>611002.93</v>
      </c>
      <c r="C72" s="3">
        <v>33222.74</v>
      </c>
      <c r="D72" s="19">
        <f t="shared" si="6"/>
        <v>5.437410913888742</v>
      </c>
      <c r="E72" s="3">
        <v>624182</v>
      </c>
      <c r="F72" s="3">
        <f>14030.1+153.96+18.66</f>
        <v>14202.72</v>
      </c>
      <c r="G72" s="19">
        <f t="shared" si="5"/>
        <v>2.275413260875834</v>
      </c>
      <c r="H72" s="5">
        <f t="shared" si="8"/>
        <v>1235184.9300000002</v>
      </c>
      <c r="I72" s="5">
        <f t="shared" si="9"/>
        <v>47425.46</v>
      </c>
      <c r="J72" s="19">
        <f t="shared" si="7"/>
        <v>3.8395432819925994</v>
      </c>
    </row>
    <row r="73" spans="1:10" ht="12.75">
      <c r="A73" s="1" t="s">
        <v>74</v>
      </c>
      <c r="B73" s="14">
        <f>390467.56+92.19+40.26-2380.65</f>
        <v>388219.36</v>
      </c>
      <c r="C73" s="14">
        <v>11449.27</v>
      </c>
      <c r="D73" s="18">
        <f t="shared" si="6"/>
        <v>2.949175435248773</v>
      </c>
      <c r="E73" s="14">
        <f>42886.23+28111.39+5168.05+6.08+0.6</f>
        <v>76172.35</v>
      </c>
      <c r="F73" s="14">
        <f>150.69+65.47</f>
        <v>216.16</v>
      </c>
      <c r="G73" s="18">
        <f t="shared" si="5"/>
        <v>0.2837775124438198</v>
      </c>
      <c r="H73" s="15">
        <f t="shared" si="8"/>
        <v>464391.70999999996</v>
      </c>
      <c r="I73" s="15">
        <f t="shared" si="9"/>
        <v>11665.43</v>
      </c>
      <c r="J73" s="18">
        <f t="shared" si="7"/>
        <v>2.511980672523203</v>
      </c>
    </row>
    <row r="74" spans="1:10" ht="12.75">
      <c r="A74" s="1" t="s">
        <v>75</v>
      </c>
      <c r="B74" s="3">
        <f>924605.11+161.09+88.12+699.17-3097.27</f>
        <v>922456.22</v>
      </c>
      <c r="C74" s="3">
        <f>23361.67+137.13</f>
        <v>23498.8</v>
      </c>
      <c r="D74" s="19">
        <f t="shared" si="6"/>
        <v>2.547416288222329</v>
      </c>
      <c r="E74" s="3">
        <f>83021.62+264.25+32422.13+552.18+17221.83+251.51+2.14+28.67-2170.65-159-251.51</f>
        <v>131183.17000000004</v>
      </c>
      <c r="F74" s="3">
        <f>1533.74+117.42</f>
        <v>1651.16</v>
      </c>
      <c r="G74" s="19">
        <f t="shared" si="5"/>
        <v>1.2586675562116691</v>
      </c>
      <c r="H74" s="5">
        <f t="shared" si="8"/>
        <v>1053639.3900000001</v>
      </c>
      <c r="I74" s="5">
        <f t="shared" si="9"/>
        <v>25149.96</v>
      </c>
      <c r="J74" s="19">
        <f t="shared" si="7"/>
        <v>2.386960874725839</v>
      </c>
    </row>
    <row r="75" spans="1:10" ht="12.75">
      <c r="A75" s="1" t="s">
        <v>76</v>
      </c>
      <c r="B75" s="3">
        <f>537694.07+173.24+20460.06+40.99-1787.48</f>
        <v>556580.88</v>
      </c>
      <c r="C75" s="3">
        <v>6757.18</v>
      </c>
      <c r="D75" s="19">
        <f t="shared" si="6"/>
        <v>1.2140517654864464</v>
      </c>
      <c r="E75" s="3">
        <f>231902.62+56.14+134324.17+16817.57+2281.06+2.37-11.25</f>
        <v>385372.68000000005</v>
      </c>
      <c r="F75" s="3">
        <v>34.05</v>
      </c>
      <c r="G75" s="19">
        <f t="shared" si="5"/>
        <v>0.008835602980470748</v>
      </c>
      <c r="H75" s="5">
        <f t="shared" si="8"/>
        <v>941953.56</v>
      </c>
      <c r="I75" s="5">
        <f t="shared" si="9"/>
        <v>6791.2300000000005</v>
      </c>
      <c r="J75" s="19">
        <f t="shared" si="7"/>
        <v>0.7209729108088938</v>
      </c>
    </row>
    <row r="76" spans="1:10" ht="12.75">
      <c r="A76" s="1" t="s">
        <v>77</v>
      </c>
      <c r="B76" s="3">
        <f>1249002.92+1211.69+439.66+2108.49-5068.4</f>
        <v>1247694.3599999999</v>
      </c>
      <c r="C76" s="3">
        <v>22871.83</v>
      </c>
      <c r="D76" s="19">
        <f t="shared" si="6"/>
        <v>1.833127625903511</v>
      </c>
      <c r="E76" s="3">
        <f>323116.63+627404.33+149900.92+1341.67+65.5+22776.92-68330.77</f>
        <v>1056275.1999999997</v>
      </c>
      <c r="F76" s="3">
        <f>1537.79+20.44</f>
        <v>1558.23</v>
      </c>
      <c r="G76" s="19">
        <f t="shared" si="5"/>
        <v>0.14752121416842887</v>
      </c>
      <c r="H76" s="5">
        <f t="shared" si="8"/>
        <v>2303969.5599999996</v>
      </c>
      <c r="I76" s="5">
        <f t="shared" si="9"/>
        <v>24430.06</v>
      </c>
      <c r="J76" s="19">
        <f t="shared" si="7"/>
        <v>1.060346474369219</v>
      </c>
    </row>
    <row r="77" spans="1:10" ht="12.75">
      <c r="A77" s="1" t="s">
        <v>78</v>
      </c>
      <c r="B77" s="3">
        <f>692559.62+281.82+76.16-1606.68</f>
        <v>691310.9199999999</v>
      </c>
      <c r="C77" s="3">
        <v>8739.46</v>
      </c>
      <c r="D77" s="19">
        <f t="shared" si="6"/>
        <v>1.264186597833577</v>
      </c>
      <c r="E77" s="3">
        <f>51344.17+7150.99+6439.51+849.17+1.46-4268.87-44.3</f>
        <v>61472.13</v>
      </c>
      <c r="F77" s="3">
        <f>164.11+22.32</f>
        <v>186.43</v>
      </c>
      <c r="G77" s="19">
        <f t="shared" si="5"/>
        <v>0.30327564702898696</v>
      </c>
      <c r="H77" s="5">
        <f t="shared" si="8"/>
        <v>752783.0499999999</v>
      </c>
      <c r="I77" s="5">
        <f t="shared" si="9"/>
        <v>8925.89</v>
      </c>
      <c r="J77" s="19">
        <f t="shared" si="7"/>
        <v>1.1857187804640394</v>
      </c>
    </row>
    <row r="78" spans="1:10" ht="12.75">
      <c r="A78" s="1" t="s">
        <v>79</v>
      </c>
      <c r="B78" s="3">
        <f>5089952.88+8890.44+1328.17+5841.92-16654</f>
        <v>5089359.41</v>
      </c>
      <c r="C78" s="3">
        <v>154396.61</v>
      </c>
      <c r="D78" s="19">
        <f t="shared" si="6"/>
        <v>3.033714020995031</v>
      </c>
      <c r="E78" s="23">
        <f>660349.56+1094.3+224.89+643419.04+326.71+134138.12+58.15+20.77+447.07+738.5-2202.11-59.32</f>
        <v>1438555.68</v>
      </c>
      <c r="F78" s="3">
        <f>13825.5+184.18+1146.74</f>
        <v>15156.42</v>
      </c>
      <c r="G78" s="19">
        <f t="shared" si="5"/>
        <v>1.0535859133377445</v>
      </c>
      <c r="H78" s="5">
        <f t="shared" si="8"/>
        <v>6527915.09</v>
      </c>
      <c r="I78" s="5">
        <f t="shared" si="9"/>
        <v>169553.03</v>
      </c>
      <c r="J78" s="19">
        <f t="shared" si="7"/>
        <v>2.5973534836526193</v>
      </c>
    </row>
    <row r="79" spans="1:10" ht="12.75">
      <c r="A79" s="1" t="s">
        <v>80</v>
      </c>
      <c r="B79" s="3">
        <f>233063.52+18475.59+2551.82</f>
        <v>254090.93</v>
      </c>
      <c r="C79" s="3">
        <v>21394.76</v>
      </c>
      <c r="D79" s="19">
        <f>C79/B79*100</f>
        <v>8.420119521779073</v>
      </c>
      <c r="E79" s="3">
        <f>199961.15+7701.67+8045.88+5.84</f>
        <v>215714.54</v>
      </c>
      <c r="F79" s="3">
        <f>13146.94+810.12+131.57</f>
        <v>14088.630000000001</v>
      </c>
      <c r="G79" s="19">
        <f>F79/E79*100</f>
        <v>6.53114528116649</v>
      </c>
      <c r="H79" s="5">
        <f>(B79+E79)</f>
        <v>469805.47</v>
      </c>
      <c r="I79" s="5">
        <f>(C79+F79)</f>
        <v>35483.39</v>
      </c>
      <c r="J79" s="19">
        <f>I79/H79*100</f>
        <v>7.55278349568812</v>
      </c>
    </row>
    <row r="80" spans="1:10" ht="12.75">
      <c r="A80" s="1" t="s">
        <v>81</v>
      </c>
      <c r="B80" s="3">
        <f>1039746.51+307.89+25.62+900-3042.19</f>
        <v>1037937.8300000001</v>
      </c>
      <c r="C80" s="3">
        <v>11424.13</v>
      </c>
      <c r="D80" s="19">
        <f>C80/B80*100</f>
        <v>1.1006564815158533</v>
      </c>
      <c r="E80" s="3">
        <f>198683.48+82.59+368798.78+43241.76+63.06+7.23+1.32-120.86-21.9</f>
        <v>610735.4600000001</v>
      </c>
      <c r="F80" s="3">
        <f>381.35+3989.67+17.89</f>
        <v>4388.910000000001</v>
      </c>
      <c r="G80" s="19">
        <f>F80/E80*100</f>
        <v>0.7186270140594097</v>
      </c>
      <c r="H80" s="5">
        <f>(B80+E80)</f>
        <v>1648673.29</v>
      </c>
      <c r="I80" s="5">
        <f>(C80+F80)</f>
        <v>15813.04</v>
      </c>
      <c r="J80" s="19">
        <f>I80/H80*100</f>
        <v>0.9591372709143606</v>
      </c>
    </row>
    <row r="81" spans="1:10" ht="12.75">
      <c r="A81" s="1" t="s">
        <v>82</v>
      </c>
      <c r="B81" s="3">
        <f>2103952.25+875.54+37.62+974.55-11847.89</f>
        <v>2093992.07</v>
      </c>
      <c r="C81" s="3">
        <v>32280.89</v>
      </c>
      <c r="D81" s="19">
        <f t="shared" si="6"/>
        <v>1.5415956183635404</v>
      </c>
      <c r="E81" s="3">
        <f>556332.91+1393252.22+114270.68+1338.24+3.46-17777.21</f>
        <v>2047420.2999999998</v>
      </c>
      <c r="F81" s="3">
        <f>1761.26+1797.94+893.24+19.33</f>
        <v>4471.7699999999995</v>
      </c>
      <c r="G81" s="19">
        <f t="shared" si="5"/>
        <v>0.21840996692276618</v>
      </c>
      <c r="H81" s="5">
        <f t="shared" si="8"/>
        <v>4141412.37</v>
      </c>
      <c r="I81" s="5">
        <f t="shared" si="9"/>
        <v>36752.659999999996</v>
      </c>
      <c r="J81" s="19">
        <f t="shared" si="7"/>
        <v>0.8874426576361436</v>
      </c>
    </row>
    <row r="82" spans="1:10" ht="12.75">
      <c r="A82" s="1" t="s">
        <v>83</v>
      </c>
      <c r="B82" s="3">
        <f>250105.84+68855.31+435.22-3203.26</f>
        <v>316193.11</v>
      </c>
      <c r="C82" s="3">
        <v>19654.66</v>
      </c>
      <c r="D82" s="19">
        <f t="shared" si="6"/>
        <v>6.216030450505389</v>
      </c>
      <c r="E82" s="3">
        <f>503181.41+64524.1+7183.97+2183.03+2.6</f>
        <v>577075.11</v>
      </c>
      <c r="F82" s="3">
        <f>5385.18+724.84+38.7</f>
        <v>6148.72</v>
      </c>
      <c r="G82" s="19">
        <f t="shared" si="5"/>
        <v>1.0654973492098803</v>
      </c>
      <c r="H82" s="5">
        <f t="shared" si="8"/>
        <v>893268.22</v>
      </c>
      <c r="I82" s="5">
        <f t="shared" si="9"/>
        <v>25803.38</v>
      </c>
      <c r="J82" s="19">
        <f t="shared" si="7"/>
        <v>2.888648607693667</v>
      </c>
    </row>
    <row r="83" spans="1:10" ht="12.75">
      <c r="A83" s="1" t="s">
        <v>84</v>
      </c>
      <c r="B83" s="14">
        <f>885308.11+43.92+2583.11+50.02+3724.6-2227.31</f>
        <v>889482.45</v>
      </c>
      <c r="C83" s="14">
        <v>10265.17</v>
      </c>
      <c r="D83" s="18">
        <f t="shared" si="6"/>
        <v>1.15406099355867</v>
      </c>
      <c r="E83" s="14">
        <f>357118.03+10.4+271651.71+40979.48+4648.26-41.27-7.49</f>
        <v>674359.1200000001</v>
      </c>
      <c r="F83" s="14">
        <v>78</v>
      </c>
      <c r="G83" s="18">
        <f t="shared" si="5"/>
        <v>0.011566537425934121</v>
      </c>
      <c r="H83" s="15">
        <f t="shared" si="8"/>
        <v>1563841.57</v>
      </c>
      <c r="I83" s="15">
        <f t="shared" si="9"/>
        <v>10343.17</v>
      </c>
      <c r="J83" s="18">
        <f t="shared" si="7"/>
        <v>0.6613950030756632</v>
      </c>
    </row>
    <row r="84" spans="1:10" ht="12.75">
      <c r="A84" s="1" t="s">
        <v>85</v>
      </c>
      <c r="B84" s="3">
        <f>4161221.93+3446.87+856.35+4425.24-24081.8</f>
        <v>4145868.590000001</v>
      </c>
      <c r="C84" s="3">
        <v>105711.14</v>
      </c>
      <c r="D84" s="18">
        <f t="shared" si="6"/>
        <v>2.549794758448916</v>
      </c>
      <c r="E84" s="22">
        <f>1137945.6+73316.58+978068.62+2442.22+20.11+1810.22+18671.48+0.08+0.12+356.01+18.99-8760.45-18667.75-0.08</f>
        <v>2185221.7500000005</v>
      </c>
      <c r="F84" s="3">
        <f>14675.79+8117.38+818.31</f>
        <v>23611.480000000003</v>
      </c>
      <c r="G84" s="19">
        <f t="shared" si="5"/>
        <v>1.0805072757490173</v>
      </c>
      <c r="H84" s="5">
        <f>(B84+F84)</f>
        <v>4169480.0700000008</v>
      </c>
      <c r="I84" s="15">
        <f t="shared" si="9"/>
        <v>129322.62</v>
      </c>
      <c r="J84" s="19">
        <f t="shared" si="7"/>
        <v>3.1016485947611203</v>
      </c>
    </row>
    <row r="85" spans="1:10" ht="12.75">
      <c r="A85" s="1" t="s">
        <v>86</v>
      </c>
      <c r="B85" s="3">
        <f>425031.37+123.22+1178.97-15492.15</f>
        <v>410841.4099999999</v>
      </c>
      <c r="C85" s="3">
        <v>27422.02</v>
      </c>
      <c r="D85" s="19">
        <f t="shared" si="6"/>
        <v>6.67459981699508</v>
      </c>
      <c r="E85" s="3">
        <f>33224.68+6305.83+8074.16+2.18+6.04</f>
        <v>47612.89</v>
      </c>
      <c r="F85" s="3">
        <f>1159.21+162.36+6.04</f>
        <v>1327.6100000000001</v>
      </c>
      <c r="G85" s="19">
        <f t="shared" si="5"/>
        <v>2.788341560447182</v>
      </c>
      <c r="H85" s="5">
        <f t="shared" si="8"/>
        <v>458454.29999999993</v>
      </c>
      <c r="I85" s="5">
        <f t="shared" si="9"/>
        <v>28749.63</v>
      </c>
      <c r="J85" s="19">
        <f t="shared" si="7"/>
        <v>6.27099145978127</v>
      </c>
    </row>
    <row r="86" spans="1:10" ht="12.75">
      <c r="A86" s="1" t="s">
        <v>87</v>
      </c>
      <c r="B86" s="3">
        <f>435575.34+25.62+11706.35+709.55-2701.93</f>
        <v>445314.93</v>
      </c>
      <c r="C86" s="3">
        <v>10373.03</v>
      </c>
      <c r="D86" s="19">
        <f t="shared" si="6"/>
        <v>2.3293694644372245</v>
      </c>
      <c r="E86" s="3">
        <f>50012.84+12593.63+10704.89+3318.97+35.59</f>
        <v>76665.91999999998</v>
      </c>
      <c r="F86" s="3">
        <f>745.32+3.29+0.74</f>
        <v>749.35</v>
      </c>
      <c r="G86" s="19">
        <f t="shared" si="5"/>
        <v>0.9774225627240893</v>
      </c>
      <c r="H86" s="5">
        <f t="shared" si="8"/>
        <v>521980.85</v>
      </c>
      <c r="I86" s="5">
        <f t="shared" si="9"/>
        <v>11122.380000000001</v>
      </c>
      <c r="J86" s="19">
        <f t="shared" si="7"/>
        <v>2.1308023081689687</v>
      </c>
    </row>
    <row r="87" spans="1:10" ht="12.75">
      <c r="A87" s="1" t="s">
        <v>88</v>
      </c>
      <c r="B87" s="3">
        <f>1324107.93+224.97+13789.89+203.25-2288.42</f>
        <v>1336037.6199999999</v>
      </c>
      <c r="C87" s="3">
        <v>19650.54</v>
      </c>
      <c r="D87" s="19">
        <f t="shared" si="6"/>
        <v>1.4708073863967994</v>
      </c>
      <c r="E87" s="3">
        <f>139719.15+64107.6+20069.88+51.98</f>
        <v>223948.61000000002</v>
      </c>
      <c r="F87" s="3">
        <f>856.94+0.43</f>
        <v>857.37</v>
      </c>
      <c r="G87" s="19">
        <f t="shared" si="5"/>
        <v>0.38284229582849383</v>
      </c>
      <c r="H87" s="5">
        <f t="shared" si="8"/>
        <v>1559986.23</v>
      </c>
      <c r="I87" s="5">
        <f t="shared" si="9"/>
        <v>20507.91</v>
      </c>
      <c r="J87" s="19">
        <f t="shared" si="7"/>
        <v>1.3146212194449947</v>
      </c>
    </row>
    <row r="88" spans="1:10" ht="12.75">
      <c r="A88" s="1" t="s">
        <v>89</v>
      </c>
      <c r="B88" s="3">
        <f>158788.22+233.41-2914</f>
        <v>156107.63</v>
      </c>
      <c r="C88" s="3">
        <v>10210.91</v>
      </c>
      <c r="D88" s="19">
        <f t="shared" si="6"/>
        <v>6.5409422973111555</v>
      </c>
      <c r="E88" s="3">
        <f>11378.31+5776.07+2846.9-3.92-664.02-19.45</f>
        <v>19313.89</v>
      </c>
      <c r="F88" s="3">
        <f>622.35+71.79</f>
        <v>694.14</v>
      </c>
      <c r="G88" s="19">
        <f t="shared" si="5"/>
        <v>3.5939937526826546</v>
      </c>
      <c r="H88" s="5">
        <f t="shared" si="8"/>
        <v>175421.52000000002</v>
      </c>
      <c r="I88" s="5">
        <f t="shared" si="9"/>
        <v>10905.05</v>
      </c>
      <c r="J88" s="19">
        <f t="shared" si="7"/>
        <v>6.216483587646486</v>
      </c>
    </row>
    <row r="89" spans="1:10" ht="12.75">
      <c r="A89" s="1" t="s">
        <v>90</v>
      </c>
      <c r="B89" s="14">
        <f>1454774.03+380.59+194.43+329.07-2445.21</f>
        <v>1453232.9100000001</v>
      </c>
      <c r="C89" s="14">
        <v>36716.12</v>
      </c>
      <c r="D89" s="18">
        <f t="shared" si="6"/>
        <v>2.526513110689187</v>
      </c>
      <c r="E89" s="14">
        <f>181446.35+100.8+648297.01+22640.03+871.62+87.44+2519.95-16.62-509.04</f>
        <v>855437.5399999999</v>
      </c>
      <c r="F89" s="14">
        <f>3533.9+61.79</f>
        <v>3595.69</v>
      </c>
      <c r="G89" s="18">
        <f t="shared" si="5"/>
        <v>0.4203334354487179</v>
      </c>
      <c r="H89" s="15">
        <f t="shared" si="8"/>
        <v>2308670.45</v>
      </c>
      <c r="I89" s="15">
        <f t="shared" si="9"/>
        <v>40311.810000000005</v>
      </c>
      <c r="J89" s="18">
        <f t="shared" si="7"/>
        <v>1.7461049930274803</v>
      </c>
    </row>
    <row r="90" spans="1:10" ht="12.75">
      <c r="A90" s="1" t="s">
        <v>91</v>
      </c>
      <c r="B90" s="3">
        <f>324845.13+43.92+6264.75+20.74-1164.55</f>
        <v>330009.99</v>
      </c>
      <c r="C90" s="3">
        <v>12020.51</v>
      </c>
      <c r="D90" s="18">
        <f t="shared" si="6"/>
        <v>3.6424685204226694</v>
      </c>
      <c r="E90" s="3">
        <f>47379.14+91389.82+23303.61+0.45</f>
        <v>162073.02000000002</v>
      </c>
      <c r="F90" s="3">
        <f>428.33+29.72</f>
        <v>458.04999999999995</v>
      </c>
      <c r="G90" s="19">
        <f t="shared" si="5"/>
        <v>0.28261952544599955</v>
      </c>
      <c r="H90" s="5">
        <f t="shared" si="8"/>
        <v>492083.01</v>
      </c>
      <c r="I90" s="5">
        <f t="shared" si="9"/>
        <v>12478.56</v>
      </c>
      <c r="J90" s="19">
        <f t="shared" si="7"/>
        <v>2.5358648330492044</v>
      </c>
    </row>
    <row r="91" spans="1:10" ht="12.75">
      <c r="A91" s="1" t="s">
        <v>92</v>
      </c>
      <c r="B91" s="3">
        <f>340657.63+1508.84+244-996.74</f>
        <v>341413.73000000004</v>
      </c>
      <c r="C91" s="3">
        <v>10686.42</v>
      </c>
      <c r="D91" s="19">
        <f t="shared" si="6"/>
        <v>3.1300498664772496</v>
      </c>
      <c r="E91" s="3">
        <f>65072.97+21645.18+20162.31+2.23</f>
        <v>106882.68999999999</v>
      </c>
      <c r="F91" s="3">
        <f>375.24+2.83</f>
        <v>378.07</v>
      </c>
      <c r="G91" s="19">
        <f>F91/E91*100</f>
        <v>0.3537242560044101</v>
      </c>
      <c r="H91" s="5">
        <f t="shared" si="8"/>
        <v>448296.42000000004</v>
      </c>
      <c r="I91" s="5">
        <f t="shared" si="9"/>
        <v>11064.49</v>
      </c>
      <c r="J91" s="19">
        <f t="shared" si="7"/>
        <v>2.4681191966690252</v>
      </c>
    </row>
    <row r="92" spans="1:10" ht="12.75">
      <c r="A92" s="1" t="s">
        <v>93</v>
      </c>
      <c r="B92" s="3">
        <f>1382494.85+87.84+162.04+298.9+2961.8-1686.65</f>
        <v>1384318.7800000003</v>
      </c>
      <c r="C92" s="3">
        <v>27115.96</v>
      </c>
      <c r="D92" s="19">
        <f t="shared" si="6"/>
        <v>1.958794490962551</v>
      </c>
      <c r="E92" s="3">
        <f>228923.8+226747.19+58846.24+1947.36+3.98-1.39</f>
        <v>516467.17999999993</v>
      </c>
      <c r="F92" s="3">
        <f>2384.44+34.38</f>
        <v>2418.82</v>
      </c>
      <c r="G92" s="19">
        <f t="shared" si="5"/>
        <v>0.4683395370834601</v>
      </c>
      <c r="H92" s="5">
        <f t="shared" si="8"/>
        <v>1900785.9600000002</v>
      </c>
      <c r="I92" s="5">
        <f t="shared" si="9"/>
        <v>29534.78</v>
      </c>
      <c r="J92" s="19">
        <f t="shared" si="7"/>
        <v>1.5538193474450956</v>
      </c>
    </row>
    <row r="93" spans="1:10" ht="12.75">
      <c r="A93" s="1" t="s">
        <v>94</v>
      </c>
      <c r="B93" s="3">
        <f>304480.99+280.6+2083.22+107.97-2520.96</f>
        <v>304431.8199999999</v>
      </c>
      <c r="C93" s="3">
        <v>16370.5</v>
      </c>
      <c r="D93" s="19">
        <f t="shared" si="6"/>
        <v>5.3773945180894716</v>
      </c>
      <c r="E93" s="3">
        <f>68667.26+1747.5+7804.47+31.85+4.52</f>
        <v>78255.6</v>
      </c>
      <c r="F93" s="3">
        <f>152.42+142.41</f>
        <v>294.83</v>
      </c>
      <c r="G93" s="19">
        <f t="shared" si="5"/>
        <v>0.3767525902299643</v>
      </c>
      <c r="H93" s="5">
        <f t="shared" si="8"/>
        <v>382687.4199999999</v>
      </c>
      <c r="I93" s="5">
        <f t="shared" si="9"/>
        <v>16665.33</v>
      </c>
      <c r="J93" s="19">
        <f t="shared" si="7"/>
        <v>4.354815217077166</v>
      </c>
    </row>
    <row r="94" spans="1:10" ht="12.75">
      <c r="A94" s="1" t="s">
        <v>95</v>
      </c>
      <c r="B94" s="3">
        <f>1100159.04+466.04+20453.14+24.28-11096.15</f>
        <v>1110006.35</v>
      </c>
      <c r="C94" s="3">
        <v>27659.75</v>
      </c>
      <c r="D94" s="19">
        <f t="shared" si="6"/>
        <v>2.4918551141621847</v>
      </c>
      <c r="E94" s="3">
        <f>393782.8+3.47+43.25+102732.25+33711.42+2138.34+366.52+6+138.44-786.95-5.36</f>
        <v>532130.1799999999</v>
      </c>
      <c r="F94" s="3">
        <f>5248.69+112.24+5.1</f>
        <v>5366.03</v>
      </c>
      <c r="G94" s="19">
        <f t="shared" si="5"/>
        <v>1.0084054995715523</v>
      </c>
      <c r="H94" s="5">
        <f t="shared" si="8"/>
        <v>1642136.53</v>
      </c>
      <c r="I94" s="5">
        <f t="shared" si="9"/>
        <v>33025.78</v>
      </c>
      <c r="J94" s="19">
        <f t="shared" si="7"/>
        <v>2.011147026855313</v>
      </c>
    </row>
    <row r="95" spans="1:10" ht="12.75">
      <c r="A95" s="1" t="s">
        <v>96</v>
      </c>
      <c r="B95" s="14">
        <f>2901444.64+476.45+1744.78+280.45+390-12488.31</f>
        <v>2891848.0100000002</v>
      </c>
      <c r="C95" s="14">
        <v>27438.42</v>
      </c>
      <c r="D95" s="18">
        <f t="shared" si="6"/>
        <v>0.9488195750647349</v>
      </c>
      <c r="E95" s="14">
        <f>343251.83+9309.47+32.61+488829.04+10.81+73178.92+1.97+102.99+505.6+25.1-116.49-925.29-15.01-20.69</f>
        <v>914170.86</v>
      </c>
      <c r="F95" s="14">
        <f>608.91+9.6</f>
        <v>618.51</v>
      </c>
      <c r="G95" s="18">
        <f t="shared" si="5"/>
        <v>0.0676580305786601</v>
      </c>
      <c r="H95" s="15">
        <f t="shared" si="8"/>
        <v>3806018.87</v>
      </c>
      <c r="I95" s="15">
        <f t="shared" si="9"/>
        <v>28056.929999999997</v>
      </c>
      <c r="J95" s="18">
        <f t="shared" si="7"/>
        <v>0.7371726457047229</v>
      </c>
    </row>
    <row r="96" spans="1:10" ht="12.75">
      <c r="A96" s="1" t="s">
        <v>97</v>
      </c>
      <c r="B96" s="3">
        <f>256609.84-379.05</f>
        <v>256230.79</v>
      </c>
      <c r="C96" s="3">
        <v>6391.42</v>
      </c>
      <c r="D96" s="19">
        <f t="shared" si="6"/>
        <v>2.494399677728036</v>
      </c>
      <c r="E96" s="3">
        <f>11545.93+1492.49+976.09+9.81+0.09-58.53</f>
        <v>13965.88</v>
      </c>
      <c r="F96" s="3">
        <f>51.55+13.95</f>
        <v>65.5</v>
      </c>
      <c r="G96" s="19">
        <f t="shared" si="5"/>
        <v>0.4690001632550187</v>
      </c>
      <c r="H96" s="5">
        <f t="shared" si="8"/>
        <v>270196.67</v>
      </c>
      <c r="I96" s="5">
        <f t="shared" si="9"/>
        <v>6456.92</v>
      </c>
      <c r="J96" s="19">
        <f t="shared" si="7"/>
        <v>2.389711168535127</v>
      </c>
    </row>
    <row r="97" spans="1:10" ht="12.75">
      <c r="A97" s="1" t="s">
        <v>98</v>
      </c>
      <c r="B97" s="3">
        <f>810809.66+9895.52+84.79-3782.94</f>
        <v>817007.0300000001</v>
      </c>
      <c r="C97" s="3">
        <v>21439.72</v>
      </c>
      <c r="D97" s="19">
        <f t="shared" si="6"/>
        <v>2.6241781542565183</v>
      </c>
      <c r="E97" s="3">
        <f>795748.25+204690.08+30321.63+547.66+28.81-124.96-24</f>
        <v>1031187.4700000001</v>
      </c>
      <c r="F97" s="3">
        <f>1065.09+81.18</f>
        <v>1146.27</v>
      </c>
      <c r="G97" s="19">
        <f t="shared" si="5"/>
        <v>0.1111601947607063</v>
      </c>
      <c r="H97" s="5">
        <f t="shared" si="8"/>
        <v>1848194.5000000002</v>
      </c>
      <c r="I97" s="5">
        <f t="shared" si="9"/>
        <v>22585.99</v>
      </c>
      <c r="J97" s="19">
        <f t="shared" si="7"/>
        <v>1.222056985885414</v>
      </c>
    </row>
    <row r="98" spans="1:10" ht="12.75">
      <c r="A98" s="1" t="s">
        <v>99</v>
      </c>
      <c r="B98" s="3">
        <f>6444272.81+656.36+724.86+5999.66-11603.68</f>
        <v>6440050.010000001</v>
      </c>
      <c r="C98" s="3">
        <f>11603.68+24.4</f>
        <v>11628.08</v>
      </c>
      <c r="D98" s="19">
        <f t="shared" si="6"/>
        <v>0.18055884631243724</v>
      </c>
      <c r="E98" s="3">
        <f>216870.94+29847.84+28057.2+1024.96+94.3-13.95-8.86</f>
        <v>275872.43</v>
      </c>
      <c r="F98" s="3">
        <f>3969.86+381.54+7.05+0.08</f>
        <v>4358.530000000001</v>
      </c>
      <c r="G98" s="19">
        <f t="shared" si="5"/>
        <v>1.5799077856384565</v>
      </c>
      <c r="H98" s="5">
        <f t="shared" si="8"/>
        <v>6715922.44</v>
      </c>
      <c r="I98" s="5">
        <f t="shared" si="9"/>
        <v>15986.61</v>
      </c>
      <c r="J98" s="19">
        <f t="shared" si="7"/>
        <v>0.2380404202523816</v>
      </c>
    </row>
    <row r="99" spans="1:10" ht="12.75">
      <c r="A99" s="1" t="s">
        <v>100</v>
      </c>
      <c r="B99" s="3">
        <f>546049.24+689.51-1914.79</f>
        <v>544823.96</v>
      </c>
      <c r="C99" s="3">
        <f>10642+27.18</f>
        <v>10669.18</v>
      </c>
      <c r="D99" s="19">
        <f t="shared" si="6"/>
        <v>1.95828024890829</v>
      </c>
      <c r="E99" s="3">
        <f>64981.49+8308.86+127.17+6237.42+25.79+0.17</f>
        <v>79680.9</v>
      </c>
      <c r="F99" s="3">
        <f>251.04+83.9</f>
        <v>334.94</v>
      </c>
      <c r="G99" s="19">
        <f t="shared" si="5"/>
        <v>0.4203516777546439</v>
      </c>
      <c r="H99" s="5">
        <f t="shared" si="8"/>
        <v>624504.86</v>
      </c>
      <c r="I99" s="5">
        <f t="shared" si="9"/>
        <v>11004.12</v>
      </c>
      <c r="J99" s="19">
        <f t="shared" si="7"/>
        <v>1.7620551423731114</v>
      </c>
    </row>
    <row r="100" spans="1:10" ht="12.75">
      <c r="A100" s="1" t="s">
        <v>101</v>
      </c>
      <c r="B100" s="3">
        <f>94899.65+151.44-1060.91</f>
        <v>93990.18</v>
      </c>
      <c r="C100" s="3">
        <f>5932.52+4.45</f>
        <v>5936.97</v>
      </c>
      <c r="D100" s="19">
        <f t="shared" si="6"/>
        <v>6.316585413497454</v>
      </c>
      <c r="E100" s="3">
        <f>9236.16+1284+751.15</f>
        <v>11271.31</v>
      </c>
      <c r="F100" s="3">
        <v>15.59</v>
      </c>
      <c r="G100" s="19">
        <f t="shared" si="5"/>
        <v>0.1383157769593774</v>
      </c>
      <c r="H100" s="5">
        <f t="shared" si="8"/>
        <v>105261.48999999999</v>
      </c>
      <c r="I100" s="5">
        <f t="shared" si="9"/>
        <v>5952.56</v>
      </c>
      <c r="J100" s="19">
        <f t="shared" si="7"/>
        <v>5.655021603817313</v>
      </c>
    </row>
    <row r="101" spans="1:10" ht="12.75">
      <c r="A101" s="1" t="s">
        <v>102</v>
      </c>
      <c r="B101" s="14">
        <f>623569.53+69.54+2967.64+31.94-1480.87</f>
        <v>625157.78</v>
      </c>
      <c r="C101" s="14">
        <v>15865.11</v>
      </c>
      <c r="D101" s="18">
        <f t="shared" si="6"/>
        <v>2.537776943286221</v>
      </c>
      <c r="E101" s="14">
        <f>108194.33+102767.69+6703.35+59.62+0.05-3.46</f>
        <v>217721.58000000002</v>
      </c>
      <c r="F101" s="14">
        <f>275.36+9.83</f>
        <v>285.19</v>
      </c>
      <c r="G101" s="18">
        <f t="shared" si="5"/>
        <v>0.13098839352534553</v>
      </c>
      <c r="H101" s="15">
        <f t="shared" si="8"/>
        <v>842879.3600000001</v>
      </c>
      <c r="I101" s="15">
        <f t="shared" si="9"/>
        <v>16150.300000000001</v>
      </c>
      <c r="J101" s="18">
        <f t="shared" si="7"/>
        <v>1.9160867813870779</v>
      </c>
    </row>
    <row r="102" spans="1:10" ht="12.75">
      <c r="A102" s="1" t="s">
        <v>103</v>
      </c>
      <c r="B102" s="3">
        <f>961871.74+176.9+91471.92+2953.18-10780.69</f>
        <v>1045693.05</v>
      </c>
      <c r="C102" s="3">
        <v>95508.86</v>
      </c>
      <c r="D102" s="19">
        <f t="shared" si="6"/>
        <v>9.133546407332439</v>
      </c>
      <c r="E102" s="3">
        <f>1125752.87+98100.79+63029.78+2452.02+0.56-21</f>
        <v>1289315.0200000003</v>
      </c>
      <c r="F102" s="3">
        <f>7522.9+9016.85+3105.87</f>
        <v>19645.62</v>
      </c>
      <c r="G102" s="19">
        <f t="shared" si="5"/>
        <v>1.5237253654269842</v>
      </c>
      <c r="H102" s="5">
        <f t="shared" si="8"/>
        <v>2335008.0700000003</v>
      </c>
      <c r="I102" s="5">
        <f t="shared" si="9"/>
        <v>115154.48</v>
      </c>
      <c r="J102" s="19">
        <f t="shared" si="7"/>
        <v>4.931652334717626</v>
      </c>
    </row>
    <row r="103" spans="1:10" ht="12.75">
      <c r="A103" s="1" t="s">
        <v>104</v>
      </c>
      <c r="B103" s="3">
        <f>1836177.42+297280.82+1043.09-6287.76</f>
        <v>2128213.57</v>
      </c>
      <c r="C103" s="3">
        <v>142661.89</v>
      </c>
      <c r="D103" s="19">
        <f t="shared" si="6"/>
        <v>6.703363422309164</v>
      </c>
      <c r="E103" s="3">
        <f>2273011.69+365571.04+94084.69+185.53+0.06-1114.03-55.49</f>
        <v>2731683.4899999998</v>
      </c>
      <c r="F103" s="3">
        <f>139439.8+6252.34+905.58+37.5</f>
        <v>146635.21999999997</v>
      </c>
      <c r="G103" s="19">
        <f t="shared" si="5"/>
        <v>5.367943267834444</v>
      </c>
      <c r="H103" s="5">
        <f t="shared" si="8"/>
        <v>4859897.06</v>
      </c>
      <c r="I103" s="5">
        <f t="shared" si="9"/>
        <v>289297.11</v>
      </c>
      <c r="J103" s="19">
        <f t="shared" si="7"/>
        <v>5.952741517533296</v>
      </c>
    </row>
    <row r="104" spans="1:10" ht="12.75">
      <c r="A104" s="1" t="s">
        <v>105</v>
      </c>
      <c r="B104" s="3">
        <f>449542.91+161.77+1863.32+655.34-2393.35</f>
        <v>449829.99000000005</v>
      </c>
      <c r="C104" s="3">
        <v>20251.08</v>
      </c>
      <c r="D104" s="19">
        <f t="shared" si="6"/>
        <v>4.501940833246801</v>
      </c>
      <c r="E104" s="3">
        <f>57569.99+6854.13+6772.42+25.58</f>
        <v>71222.12</v>
      </c>
      <c r="F104" s="3">
        <v>20.95</v>
      </c>
      <c r="G104" s="19">
        <f t="shared" si="5"/>
        <v>0.029415018817187697</v>
      </c>
      <c r="H104" s="5">
        <f t="shared" si="8"/>
        <v>521052.11000000004</v>
      </c>
      <c r="I104" s="5">
        <f t="shared" si="9"/>
        <v>20272.030000000002</v>
      </c>
      <c r="J104" s="19">
        <f t="shared" si="7"/>
        <v>3.8905955106870214</v>
      </c>
    </row>
    <row r="105" spans="1:10" ht="12.75">
      <c r="A105" s="1" t="s">
        <v>106</v>
      </c>
      <c r="B105" s="3">
        <f>3778281.43+3921.81+1363.83+1155.36-14597.3</f>
        <v>3770125.1300000004</v>
      </c>
      <c r="C105" s="3">
        <v>81833.84</v>
      </c>
      <c r="D105" s="19">
        <f t="shared" si="6"/>
        <v>2.1705868420340733</v>
      </c>
      <c r="E105" s="3">
        <f>691120.44+395769.77+119923.05+2536.94+34.9-55860.48-340.45-2.33</f>
        <v>1153181.8399999999</v>
      </c>
      <c r="F105" s="3">
        <f>3779.47+6817.49+1169.8+6.01</f>
        <v>11772.769999999999</v>
      </c>
      <c r="G105" s="19">
        <f t="shared" si="5"/>
        <v>1.0208945017725912</v>
      </c>
      <c r="H105" s="5">
        <f t="shared" si="8"/>
        <v>4923306.970000001</v>
      </c>
      <c r="I105" s="5">
        <f t="shared" si="9"/>
        <v>93606.61</v>
      </c>
      <c r="J105" s="19">
        <f t="shared" si="7"/>
        <v>1.9012954213578113</v>
      </c>
    </row>
    <row r="106" spans="1:10" ht="12.75">
      <c r="A106" s="1" t="s">
        <v>107</v>
      </c>
      <c r="B106" s="3">
        <f>72750.56-284.69</f>
        <v>72465.87</v>
      </c>
      <c r="C106" s="3">
        <v>1007.09</v>
      </c>
      <c r="D106" s="19">
        <f t="shared" si="6"/>
        <v>1.3897438890887532</v>
      </c>
      <c r="E106" s="3">
        <f>3405.9+138.63</f>
        <v>3544.53</v>
      </c>
      <c r="F106" s="3">
        <v>6.95</v>
      </c>
      <c r="G106" s="19">
        <f t="shared" si="5"/>
        <v>0.19607677181459884</v>
      </c>
      <c r="H106" s="5">
        <f t="shared" si="8"/>
        <v>76010.4</v>
      </c>
      <c r="I106" s="5">
        <f t="shared" si="9"/>
        <v>1014.0400000000001</v>
      </c>
      <c r="J106" s="19">
        <f t="shared" si="7"/>
        <v>1.3340805994969112</v>
      </c>
    </row>
    <row r="107" spans="1:10" ht="12.75">
      <c r="A107" s="1" t="s">
        <v>108</v>
      </c>
      <c r="B107" s="3">
        <f>453475.36+357.78+142.13-3405.75</f>
        <v>450569.52</v>
      </c>
      <c r="C107" s="3">
        <v>17493.52</v>
      </c>
      <c r="D107" s="19">
        <f t="shared" si="6"/>
        <v>3.8825351524000116</v>
      </c>
      <c r="E107" s="3">
        <f>51734.2+15157.36+5125.92+3.36+29.75-692.3-530.6</f>
        <v>70827.68999999999</v>
      </c>
      <c r="F107" s="3">
        <f>821.22+32.79</f>
        <v>854.01</v>
      </c>
      <c r="G107" s="19">
        <f t="shared" si="5"/>
        <v>1.205757239859157</v>
      </c>
      <c r="H107" s="5">
        <f t="shared" si="8"/>
        <v>521397.21</v>
      </c>
      <c r="I107" s="5">
        <f t="shared" si="9"/>
        <v>18347.53</v>
      </c>
      <c r="J107" s="19">
        <f t="shared" si="7"/>
        <v>3.5189160294893025</v>
      </c>
    </row>
    <row r="108" spans="1:10" ht="12.75">
      <c r="A108" s="1" t="s">
        <v>109</v>
      </c>
      <c r="B108" s="14">
        <f>1074456.3+371.15+769.21-5174.83</f>
        <v>1070421.8299999998</v>
      </c>
      <c r="C108" s="14">
        <v>40221.51</v>
      </c>
      <c r="D108" s="18">
        <f t="shared" si="6"/>
        <v>3.757538278157127</v>
      </c>
      <c r="E108" s="14">
        <f>218693.63+86293.34+32125.02+282.66+1.22+11.57+167.67+86.38-36.03</f>
        <v>337625.4599999999</v>
      </c>
      <c r="F108" s="14">
        <f>5050.72+309.12+1.15</f>
        <v>5360.99</v>
      </c>
      <c r="G108" s="18">
        <f t="shared" si="5"/>
        <v>1.5878512242530527</v>
      </c>
      <c r="H108" s="15">
        <f t="shared" si="8"/>
        <v>1408047.2899999998</v>
      </c>
      <c r="I108" s="15">
        <f t="shared" si="9"/>
        <v>45582.5</v>
      </c>
      <c r="J108" s="18">
        <f t="shared" si="7"/>
        <v>3.2372847363670583</v>
      </c>
    </row>
    <row r="109" spans="1:10" ht="12.75">
      <c r="A109" s="1" t="s">
        <v>110</v>
      </c>
      <c r="B109" s="3">
        <f>966677.46+304.27+919.78+580.57+1500-3495.86</f>
        <v>966486.22</v>
      </c>
      <c r="C109" s="3">
        <v>18296.13</v>
      </c>
      <c r="D109" s="19">
        <f t="shared" si="6"/>
        <v>1.893056478342754</v>
      </c>
      <c r="E109" s="3">
        <f>258405.38+121395.96+3447.62+45917.81+5010.57+18.9+35.1-381.78-1.75-64.79</f>
        <v>433783.02</v>
      </c>
      <c r="F109" s="3">
        <f>935.73+27.37+90.56</f>
        <v>1053.66</v>
      </c>
      <c r="G109" s="19">
        <f t="shared" si="5"/>
        <v>0.24290024077014355</v>
      </c>
      <c r="H109" s="5">
        <f t="shared" si="8"/>
        <v>1400269.24</v>
      </c>
      <c r="I109" s="5">
        <f t="shared" si="9"/>
        <v>19349.79</v>
      </c>
      <c r="J109" s="19">
        <f t="shared" si="7"/>
        <v>1.3818621053191171</v>
      </c>
    </row>
    <row r="110" spans="1:10" ht="12.75">
      <c r="A110" s="1" t="s">
        <v>111</v>
      </c>
      <c r="B110" s="3">
        <f>4189450.65+1195.6+360.16+3477.24-3898.61</f>
        <v>4190585.0400000005</v>
      </c>
      <c r="C110" s="3">
        <v>57379.15</v>
      </c>
      <c r="D110" s="19">
        <f>C110/B110*100</f>
        <v>1.3692396038334542</v>
      </c>
      <c r="E110" s="3">
        <f>474558.33+336724.74+100332.97+574.53+11743.33+20.49+4772.08+76.23-13177.16-957.95</f>
        <v>914667.59</v>
      </c>
      <c r="F110" s="3">
        <f>4207.1+58.31+6+3.34</f>
        <v>4274.750000000001</v>
      </c>
      <c r="G110" s="19">
        <f t="shared" si="5"/>
        <v>0.46735557777880826</v>
      </c>
      <c r="H110" s="5">
        <f t="shared" si="8"/>
        <v>5105252.630000001</v>
      </c>
      <c r="I110" s="5">
        <f>(C110+F110)</f>
        <v>61653.9</v>
      </c>
      <c r="J110" s="19">
        <f t="shared" si="7"/>
        <v>1.2076562017264951</v>
      </c>
    </row>
    <row r="111" spans="1:10" ht="12.75">
      <c r="A111" s="1" t="s">
        <v>112</v>
      </c>
      <c r="B111" s="14">
        <f>3191696.6+270.84+1304.46-8984.68</f>
        <v>3184287.2199999997</v>
      </c>
      <c r="C111" s="14">
        <v>42981.53</v>
      </c>
      <c r="D111" s="18">
        <f t="shared" si="6"/>
        <v>1.349800662768103</v>
      </c>
      <c r="E111" s="14">
        <f>552533.05+486965.42+108385.93+2027.48+29.96+2290.35+967.08+55.36-14501.89</f>
        <v>1138752.7400000002</v>
      </c>
      <c r="F111" s="14">
        <f>2363.56+3953.87+143.08</f>
        <v>6460.51</v>
      </c>
      <c r="G111" s="18">
        <f t="shared" si="5"/>
        <v>0.567332114608128</v>
      </c>
      <c r="H111" s="15">
        <f t="shared" si="8"/>
        <v>4323039.96</v>
      </c>
      <c r="I111" s="15">
        <f t="shared" si="9"/>
        <v>49442.04</v>
      </c>
      <c r="J111" s="18">
        <f t="shared" si="7"/>
        <v>1.1436868605766948</v>
      </c>
    </row>
    <row r="112" spans="1:10" ht="12.75">
      <c r="A112" s="1" t="s">
        <v>113</v>
      </c>
      <c r="B112" s="3">
        <f>1207185.72+395.16-1499.97-304.71</f>
        <v>1205776.2</v>
      </c>
      <c r="C112" s="3">
        <v>31694</v>
      </c>
      <c r="D112" s="19">
        <f t="shared" si="6"/>
        <v>2.6285143130209407</v>
      </c>
      <c r="E112" s="3">
        <f>237492.52+361243.23+89127.24+2101.01+238.07-57.91</f>
        <v>690144.1599999999</v>
      </c>
      <c r="F112" s="3">
        <v>1104</v>
      </c>
      <c r="G112" s="19">
        <f t="shared" si="5"/>
        <v>0.1599665785768585</v>
      </c>
      <c r="H112" s="5">
        <f t="shared" si="8"/>
        <v>1895920.3599999999</v>
      </c>
      <c r="I112" s="5">
        <f t="shared" si="9"/>
        <v>32798</v>
      </c>
      <c r="J112" s="19">
        <f t="shared" si="7"/>
        <v>1.72992498482373</v>
      </c>
    </row>
    <row r="113" spans="1:10" ht="12.75">
      <c r="A113" s="1" t="s">
        <v>114</v>
      </c>
      <c r="B113" s="3">
        <f>1235649.68+458.72+4991.76-7243.22</f>
        <v>1233856.94</v>
      </c>
      <c r="C113" s="3">
        <v>12609.82</v>
      </c>
      <c r="D113" s="19">
        <f t="shared" si="6"/>
        <v>1.0219839586913537</v>
      </c>
      <c r="E113" s="3">
        <f>31491.12+214.94+1583.46+137.44+5.62-15.67</f>
        <v>33416.91</v>
      </c>
      <c r="F113" s="3">
        <v>570.32</v>
      </c>
      <c r="G113" s="19">
        <f t="shared" si="5"/>
        <v>1.706680839132044</v>
      </c>
      <c r="H113" s="5">
        <f t="shared" si="8"/>
        <v>1267273.8499999999</v>
      </c>
      <c r="I113" s="5">
        <f t="shared" si="9"/>
        <v>13180.14</v>
      </c>
      <c r="J113" s="19">
        <f t="shared" si="7"/>
        <v>1.0400388203386348</v>
      </c>
    </row>
    <row r="114" spans="1:10" ht="12.75">
      <c r="A114" s="1" t="s">
        <v>115</v>
      </c>
      <c r="B114" s="14">
        <f>1182927.03+192.09+52.53+225.28-7447.43</f>
        <v>1175949.5000000002</v>
      </c>
      <c r="C114" s="14">
        <v>18372.59</v>
      </c>
      <c r="D114" s="18">
        <f t="shared" si="6"/>
        <v>1.5623621592593897</v>
      </c>
      <c r="E114" s="14">
        <f>246864.26+55932.98+31130.12+1450+66.05+606.13-66.05-17.04</f>
        <v>335966.45</v>
      </c>
      <c r="F114" s="14">
        <f>7326.78+211.56</f>
        <v>7538.34</v>
      </c>
      <c r="G114" s="18">
        <f t="shared" si="5"/>
        <v>2.2437776152946225</v>
      </c>
      <c r="H114" s="15">
        <f t="shared" si="8"/>
        <v>1511915.9500000002</v>
      </c>
      <c r="I114" s="15">
        <f t="shared" si="9"/>
        <v>25910.93</v>
      </c>
      <c r="J114" s="18">
        <f t="shared" si="7"/>
        <v>1.713781113295352</v>
      </c>
    </row>
    <row r="115" spans="1:10" ht="12.75">
      <c r="A115" s="1" t="s">
        <v>116</v>
      </c>
      <c r="B115" s="3">
        <f>522608.42+962.19-1883.92</f>
        <v>521686.69</v>
      </c>
      <c r="C115" s="3">
        <v>9745.8</v>
      </c>
      <c r="D115" s="19">
        <f t="shared" si="6"/>
        <v>1.8681327675812467</v>
      </c>
      <c r="E115" s="3">
        <v>104871</v>
      </c>
      <c r="F115" s="3">
        <v>717.65</v>
      </c>
      <c r="G115" s="19">
        <f aca="true" t="shared" si="10" ref="G115:G125">F115/E115*100</f>
        <v>0.684316922695502</v>
      </c>
      <c r="H115" s="5">
        <f t="shared" si="8"/>
        <v>626557.69</v>
      </c>
      <c r="I115" s="5">
        <f t="shared" si="9"/>
        <v>10463.449999999999</v>
      </c>
      <c r="J115" s="19">
        <f t="shared" si="7"/>
        <v>1.669989877548227</v>
      </c>
    </row>
    <row r="116" spans="1:10" ht="12.75">
      <c r="A116" s="1" t="s">
        <v>117</v>
      </c>
      <c r="B116" s="3">
        <f>941367.2+43.92+142.72+142.74-3076.98</f>
        <v>938619.6</v>
      </c>
      <c r="C116" s="3">
        <v>9884.11</v>
      </c>
      <c r="D116" s="19">
        <f t="shared" si="6"/>
        <v>1.0530474752498244</v>
      </c>
      <c r="E116" s="3">
        <f>63188.52+25858.67+11460.92+22397.14+14.36-206.66</f>
        <v>122712.95</v>
      </c>
      <c r="F116" s="3">
        <v>601.09</v>
      </c>
      <c r="G116" s="19">
        <f t="shared" si="10"/>
        <v>0.48983420250266985</v>
      </c>
      <c r="H116" s="5">
        <f t="shared" si="8"/>
        <v>1061332.55</v>
      </c>
      <c r="I116" s="5">
        <f t="shared" si="9"/>
        <v>10485.2</v>
      </c>
      <c r="J116" s="19">
        <f t="shared" si="7"/>
        <v>0.9879278648336943</v>
      </c>
    </row>
    <row r="117" spans="1:10" ht="12.75">
      <c r="A117" s="1" t="s">
        <v>118</v>
      </c>
      <c r="B117" s="14">
        <f>359562.21+43.92+202.76-983.56</f>
        <v>358825.33</v>
      </c>
      <c r="C117" s="14">
        <v>13565.42</v>
      </c>
      <c r="D117" s="18">
        <f t="shared" si="6"/>
        <v>3.7805079145332354</v>
      </c>
      <c r="E117" s="14">
        <f>22938.81+2448.66+1062.69+10.8-38.79</f>
        <v>26422.17</v>
      </c>
      <c r="F117" s="14">
        <v>786.83</v>
      </c>
      <c r="G117" s="18">
        <f t="shared" si="10"/>
        <v>2.9779158941146777</v>
      </c>
      <c r="H117" s="15">
        <f t="shared" si="8"/>
        <v>385247.5</v>
      </c>
      <c r="I117" s="15">
        <f t="shared" si="9"/>
        <v>14352.25</v>
      </c>
      <c r="J117" s="18">
        <f t="shared" si="7"/>
        <v>3.7254622028695836</v>
      </c>
    </row>
    <row r="118" spans="1:10" ht="12.75">
      <c r="A118" s="1" t="s">
        <v>119</v>
      </c>
      <c r="B118" s="3">
        <f>617636.59+1220+41945.67+196.5-1476.15</f>
        <v>659522.61</v>
      </c>
      <c r="C118" s="3">
        <f>9616.94+146.34</f>
        <v>9763.28</v>
      </c>
      <c r="D118" s="19">
        <f t="shared" si="6"/>
        <v>1.480355616617905</v>
      </c>
      <c r="E118" s="3">
        <f>793445.3+167598.99+26548.38+3332.35+10.78+65.61</f>
        <v>991001.41</v>
      </c>
      <c r="F118" s="3">
        <f>17.86+1.05</f>
        <v>18.91</v>
      </c>
      <c r="G118" s="19">
        <f t="shared" si="10"/>
        <v>0.001908170847103033</v>
      </c>
      <c r="H118" s="5">
        <f t="shared" si="8"/>
        <v>1650524.02</v>
      </c>
      <c r="I118" s="5">
        <f t="shared" si="9"/>
        <v>9782.19</v>
      </c>
      <c r="J118" s="19">
        <f t="shared" si="7"/>
        <v>0.5926717746282784</v>
      </c>
    </row>
    <row r="119" spans="1:10" ht="12.75">
      <c r="A119" s="1" t="s">
        <v>120</v>
      </c>
      <c r="B119" s="3">
        <f>8346436.36+52562.65+13928.67+18928.55+10931.69-23800.82</f>
        <v>8418987.1</v>
      </c>
      <c r="C119" s="3">
        <v>99406.72</v>
      </c>
      <c r="D119" s="19">
        <f>C119/B119*100</f>
        <v>1.1807444152040572</v>
      </c>
      <c r="E119" s="3">
        <f>1820168.1+1175060.48+312521.52+17364.79+7.71+871.71+1.05+15793.31-1822.23-15806.82</f>
        <v>3324159.62</v>
      </c>
      <c r="F119" s="3">
        <f>13976.74</f>
        <v>13976.74</v>
      </c>
      <c r="G119" s="19">
        <f t="shared" si="10"/>
        <v>0.42045935206926077</v>
      </c>
      <c r="H119" s="5">
        <f t="shared" si="8"/>
        <v>11743146.719999999</v>
      </c>
      <c r="I119" s="5">
        <f>(C119+F119)</f>
        <v>113383.46</v>
      </c>
      <c r="J119" s="19">
        <f t="shared" si="7"/>
        <v>0.9655287692769287</v>
      </c>
    </row>
    <row r="120" spans="1:10" ht="12.75">
      <c r="A120" s="1" t="s">
        <v>121</v>
      </c>
      <c r="B120" s="14">
        <f>573874.87+87.84-896.09</f>
        <v>573066.62</v>
      </c>
      <c r="C120" s="14">
        <v>8452.09</v>
      </c>
      <c r="D120" s="18">
        <f t="shared" si="6"/>
        <v>1.47488785858789</v>
      </c>
      <c r="E120" s="14">
        <f>107552.18+97664.74+20803.95+120.9+0.05</f>
        <v>226141.81999999998</v>
      </c>
      <c r="F120" s="14">
        <f>611.49+749.32+679.64</f>
        <v>2040.4499999999998</v>
      </c>
      <c r="G120" s="18">
        <f t="shared" si="10"/>
        <v>0.9022877767588499</v>
      </c>
      <c r="H120" s="15">
        <f t="shared" si="8"/>
        <v>799208.44</v>
      </c>
      <c r="I120" s="15">
        <f>(C120+F120)</f>
        <v>10492.54</v>
      </c>
      <c r="J120" s="18">
        <f t="shared" si="7"/>
        <v>1.312866515774033</v>
      </c>
    </row>
    <row r="121" spans="1:10" ht="12.75">
      <c r="A121" s="1" t="s">
        <v>122</v>
      </c>
      <c r="B121" s="3">
        <f>825367.81+1265.89+154.79-1757.7</f>
        <v>825030.7900000002</v>
      </c>
      <c r="C121" s="14">
        <v>16113.47</v>
      </c>
      <c r="D121" s="18">
        <f t="shared" si="6"/>
        <v>1.9530749876619753</v>
      </c>
      <c r="E121" s="3">
        <f>89996.25+51874.7+17023.45+2116.07+58.12+3.76+57.37-1384.46-16.91-3.57</f>
        <v>159724.78000000003</v>
      </c>
      <c r="F121" s="3">
        <f>2289.11+25.91+32.06</f>
        <v>2347.08</v>
      </c>
      <c r="G121" s="18">
        <f t="shared" si="10"/>
        <v>1.469452642226209</v>
      </c>
      <c r="H121" s="15">
        <f t="shared" si="8"/>
        <v>984755.5700000002</v>
      </c>
      <c r="I121" s="15">
        <f>(C121+F121)</f>
        <v>18460.55</v>
      </c>
      <c r="J121" s="19">
        <f t="shared" si="7"/>
        <v>1.8746327070787723</v>
      </c>
    </row>
    <row r="122" spans="1:10" ht="12.75">
      <c r="A122" s="1" t="s">
        <v>123</v>
      </c>
      <c r="B122" s="3">
        <f>473154+29838.47+362.07+2457.42-508.74</f>
        <v>505303.22</v>
      </c>
      <c r="C122" s="3">
        <v>12305.62</v>
      </c>
      <c r="D122" s="19">
        <f t="shared" si="6"/>
        <v>2.435294198204397</v>
      </c>
      <c r="E122" s="3">
        <f>523403.3+97371.82+13980.01+11.89</f>
        <v>634767.02</v>
      </c>
      <c r="F122" s="3">
        <f>4394.51+17.28</f>
        <v>4411.79</v>
      </c>
      <c r="G122" s="19">
        <f t="shared" si="10"/>
        <v>0.6950250818008786</v>
      </c>
      <c r="H122" s="5">
        <f t="shared" si="8"/>
        <v>1140070.24</v>
      </c>
      <c r="I122" s="5">
        <f t="shared" si="9"/>
        <v>16717.41</v>
      </c>
      <c r="J122" s="19">
        <f t="shared" si="7"/>
        <v>1.4663491259977104</v>
      </c>
    </row>
    <row r="123" spans="1:10" ht="12.75">
      <c r="A123" s="1" t="s">
        <v>124</v>
      </c>
      <c r="B123" s="3">
        <f>1199583.12+315+12890.74+1866.81-9377.56</f>
        <v>1205278.11</v>
      </c>
      <c r="C123" s="3">
        <f>68535.29+122</f>
        <v>68657.29</v>
      </c>
      <c r="D123" s="19">
        <f t="shared" si="6"/>
        <v>5.6963857080255105</v>
      </c>
      <c r="E123" s="3">
        <f>257331.4+90529.59+50503.81+431.56+59.94-2682.61</f>
        <v>396173.69</v>
      </c>
      <c r="F123" s="3">
        <f>2884.91+19.73+638.54</f>
        <v>3543.18</v>
      </c>
      <c r="G123" s="19">
        <f t="shared" si="10"/>
        <v>0.894350152328389</v>
      </c>
      <c r="H123" s="5">
        <f t="shared" si="8"/>
        <v>1601451.8</v>
      </c>
      <c r="I123" s="5">
        <f t="shared" si="9"/>
        <v>72200.46999999999</v>
      </c>
      <c r="J123" s="19">
        <f t="shared" si="7"/>
        <v>4.508438530588307</v>
      </c>
    </row>
    <row r="124" spans="1:10" ht="12.75">
      <c r="A124" s="1" t="s">
        <v>125</v>
      </c>
      <c r="B124" s="3">
        <f>182387.02+11326.06-1767.51</f>
        <v>191945.56999999998</v>
      </c>
      <c r="C124" s="3">
        <v>9617.13</v>
      </c>
      <c r="D124" s="19">
        <f t="shared" si="6"/>
        <v>5.010342254838181</v>
      </c>
      <c r="E124" s="3">
        <f>22178.07+221.25+7540.23</f>
        <v>29939.55</v>
      </c>
      <c r="F124" s="3">
        <f>632.43+135.47</f>
        <v>767.9</v>
      </c>
      <c r="G124" s="19">
        <f t="shared" si="10"/>
        <v>2.5648348088064115</v>
      </c>
      <c r="H124" s="5">
        <f t="shared" si="8"/>
        <v>221885.11999999997</v>
      </c>
      <c r="I124" s="5">
        <f t="shared" si="9"/>
        <v>10385.029999999999</v>
      </c>
      <c r="J124" s="19">
        <f t="shared" si="7"/>
        <v>4.680363424099823</v>
      </c>
    </row>
    <row r="125" spans="1:10" ht="12.75">
      <c r="A125" s="1" t="s">
        <v>126</v>
      </c>
      <c r="B125" s="3">
        <f>2435536.05+25.62-2508.93</f>
        <v>2433052.7399999998</v>
      </c>
      <c r="C125" s="3">
        <v>22014.17</v>
      </c>
      <c r="D125" s="19">
        <f t="shared" si="6"/>
        <v>0.9047962519710937</v>
      </c>
      <c r="E125" s="3">
        <f>223186.01+260954.94+45935.17+95.82+1970.82+68.87-916.27-121.58-304.66</f>
        <v>530869.1199999999</v>
      </c>
      <c r="F125" s="3">
        <f>3453.12+112.27+12.39</f>
        <v>3577.7799999999997</v>
      </c>
      <c r="G125" s="19">
        <f t="shared" si="10"/>
        <v>0.6739476577579048</v>
      </c>
      <c r="H125" s="5">
        <f t="shared" si="8"/>
        <v>2963921.8599999994</v>
      </c>
      <c r="I125" s="5">
        <f t="shared" si="9"/>
        <v>25591.949999999997</v>
      </c>
      <c r="J125" s="19">
        <f t="shared" si="7"/>
        <v>0.8634488764828638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275298830.94000006</v>
      </c>
      <c r="C127" s="12">
        <f>SUM(C6:C125)</f>
        <v>4927065.659999999</v>
      </c>
      <c r="D127" s="21">
        <f>C127/B127*100</f>
        <v>1.7897154314737458</v>
      </c>
      <c r="E127" s="12">
        <f>SUM(E6:E125)</f>
        <v>90938342.57</v>
      </c>
      <c r="F127" s="12">
        <f>SUM(F6:F125)</f>
        <v>1082556.9199999997</v>
      </c>
      <c r="G127" s="21">
        <f>F127/E127*100</f>
        <v>1.190429569536853</v>
      </c>
      <c r="H127" s="12">
        <f>SUM(H6:H125)</f>
        <v>363941161.9700002</v>
      </c>
      <c r="I127" s="12">
        <f>SUM(I6:I125)</f>
        <v>5996630.330000002</v>
      </c>
      <c r="J127" s="21">
        <f>I127/H127*100</f>
        <v>1.6476922526543745</v>
      </c>
    </row>
    <row r="129" spans="1:10" ht="12.75">
      <c r="A129" s="17">
        <v>41879</v>
      </c>
      <c r="B129" s="25" t="s">
        <v>128</v>
      </c>
      <c r="C129" s="25"/>
      <c r="D129" s="25"/>
      <c r="E129" s="25"/>
      <c r="F129" s="25"/>
      <c r="G129" s="25"/>
      <c r="H129" s="25"/>
      <c r="I129" s="25"/>
      <c r="J129" s="25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</dc:title>
  <dc:subject/>
  <dc:creator>rev0760</dc:creator>
  <cp:keywords/>
  <dc:description/>
  <cp:lastModifiedBy>%USERNAME%</cp:lastModifiedBy>
  <cp:lastPrinted>2014-11-12T20:33:57Z</cp:lastPrinted>
  <dcterms:created xsi:type="dcterms:W3CDTF">2008-01-31T15:08:19Z</dcterms:created>
  <dcterms:modified xsi:type="dcterms:W3CDTF">2014-11-12T21:23:28Z</dcterms:modified>
  <cp:category/>
  <cp:version/>
  <cp:contentType/>
  <cp:contentStatus/>
</cp:coreProperties>
</file>